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9"/>
  <workbookPr/>
  <mc:AlternateContent xmlns:mc="http://schemas.openxmlformats.org/markup-compatibility/2006">
    <mc:Choice Requires="x15">
      <x15ac:absPath xmlns:x15ac="http://schemas.microsoft.com/office/spreadsheetml/2010/11/ac" url="/Users/michaeltotah/Box/Team Data/Rates/Cost Calculator/Commercial/"/>
    </mc:Choice>
  </mc:AlternateContent>
  <xr:revisionPtr revIDLastSave="0" documentId="13_ncr:1_{27832CAF-1AB1-6C4A-9F4D-D6285FA5745F}" xr6:coauthVersionLast="31" xr6:coauthVersionMax="31" xr10:uidLastSave="{00000000-0000-0000-0000-000000000000}"/>
  <bookViews>
    <workbookView xWindow="14860" yWindow="460" windowWidth="29760" windowHeight="26460" xr2:uid="{00000000-000D-0000-FFFF-FFFF00000000}"/>
  </bookViews>
  <sheets>
    <sheet name="Cost Comparison" sheetId="1" r:id="rId1"/>
    <sheet name="CARE" sheetId="5" state="hidden" r:id="rId2"/>
    <sheet name="Calculation" sheetId="7" state="hidden" r:id="rId3"/>
    <sheet name="Rates" sheetId="2" state="hidden" r:id="rId4"/>
    <sheet name="PCIA  FF" sheetId="3" state="hidden" r:id="rId5"/>
  </sheets>
  <externalReferences>
    <externalReference r:id="rId6"/>
  </externalReferences>
  <definedNames>
    <definedName name="_xlnm.Print_Area" localSheetId="0">Rates!$A$74:$A$104</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4" i="1" l="1"/>
  <c r="J13" i="1"/>
  <c r="J12" i="1"/>
  <c r="J11" i="1"/>
  <c r="J10" i="1"/>
  <c r="J9" i="1"/>
  <c r="B9" i="1"/>
  <c r="F9" i="1"/>
  <c r="B10" i="1"/>
  <c r="F10" i="1"/>
  <c r="B11" i="1"/>
  <c r="F11" i="1"/>
  <c r="F12" i="1"/>
  <c r="B13" i="1"/>
  <c r="F13" i="1"/>
  <c r="B14" i="1"/>
  <c r="F14" i="1"/>
  <c r="F41" i="1" l="1"/>
  <c r="B36" i="3" l="1"/>
  <c r="B35" i="3"/>
  <c r="B34" i="3"/>
  <c r="B33" i="3"/>
  <c r="B28" i="3"/>
  <c r="E41" i="3" l="1"/>
  <c r="B30" i="3" s="1"/>
  <c r="E42" i="3"/>
  <c r="B31" i="3" s="1"/>
  <c r="E43" i="3"/>
  <c r="B32" i="3" s="1"/>
  <c r="E40" i="3"/>
  <c r="B29" i="3" s="1"/>
  <c r="S94" i="2" l="1"/>
  <c r="S95" i="2"/>
  <c r="S96" i="2"/>
  <c r="S97" i="2"/>
  <c r="S98" i="2"/>
  <c r="S99" i="2"/>
  <c r="S100" i="2"/>
  <c r="S101" i="2"/>
  <c r="S102" i="2"/>
  <c r="S103" i="2"/>
  <c r="S104" i="2"/>
  <c r="S93" i="2"/>
  <c r="S92" i="2"/>
  <c r="S91" i="2"/>
  <c r="S87" i="2"/>
  <c r="S90" i="2" s="1"/>
  <c r="S86" i="2"/>
  <c r="S89" i="2" s="1"/>
  <c r="S85" i="2"/>
  <c r="S88" i="2" s="1"/>
  <c r="S84" i="2"/>
  <c r="S83" i="2"/>
  <c r="S82" i="2"/>
  <c r="S81" i="2"/>
  <c r="S80" i="2"/>
  <c r="S79" i="2"/>
  <c r="S78" i="2"/>
  <c r="S77" i="2"/>
  <c r="S76" i="2"/>
  <c r="S75" i="2"/>
  <c r="S74" i="2"/>
  <c r="E1" i="7" l="1"/>
  <c r="K14" i="3" l="1"/>
  <c r="C27" i="7" l="1"/>
  <c r="C26" i="7"/>
  <c r="C25" i="7"/>
  <c r="C24" i="7"/>
  <c r="C23" i="7"/>
  <c r="C22" i="7"/>
  <c r="C21" i="7"/>
  <c r="C20" i="7"/>
  <c r="C19" i="7"/>
  <c r="C18" i="7"/>
  <c r="C17" i="7"/>
  <c r="C16" i="7"/>
  <c r="C15" i="7"/>
  <c r="C14" i="7"/>
  <c r="C13" i="7"/>
  <c r="C12" i="7"/>
  <c r="C11" i="7"/>
  <c r="C10" i="7"/>
  <c r="C9" i="7"/>
  <c r="C8" i="7"/>
  <c r="C7" i="7"/>
  <c r="V19" i="2" l="1"/>
  <c r="V18" i="2"/>
  <c r="V17" i="2"/>
  <c r="V13" i="2"/>
  <c r="V12" i="2"/>
  <c r="A46" i="2" l="1"/>
  <c r="A81" i="2" s="1"/>
  <c r="A47" i="2"/>
  <c r="A82" i="2" s="1"/>
  <c r="A48" i="2"/>
  <c r="A83" i="2" s="1"/>
  <c r="A49" i="2"/>
  <c r="A84" i="2" s="1"/>
  <c r="G41" i="1" l="1"/>
  <c r="B7" i="7" l="1"/>
  <c r="B8" i="7"/>
  <c r="B9" i="7"/>
  <c r="B10" i="7"/>
  <c r="B11" i="7"/>
  <c r="B12" i="7"/>
  <c r="B13" i="7"/>
  <c r="B14" i="7"/>
  <c r="B15" i="7"/>
  <c r="B16" i="7"/>
  <c r="B17" i="7"/>
  <c r="B18" i="7"/>
  <c r="B19" i="7"/>
  <c r="B20" i="7"/>
  <c r="B21" i="7"/>
  <c r="B22" i="7"/>
  <c r="B23" i="7"/>
  <c r="A24" i="7"/>
  <c r="B24" i="7" s="1"/>
  <c r="A25" i="7"/>
  <c r="B25" i="7" s="1"/>
  <c r="D21" i="7" l="1"/>
  <c r="D14" i="7"/>
  <c r="D13" i="7"/>
  <c r="D9" i="7"/>
  <c r="D22" i="7"/>
  <c r="D18" i="7"/>
  <c r="D19" i="7"/>
  <c r="D24" i="7"/>
  <c r="D23" i="7"/>
  <c r="D17" i="7"/>
  <c r="D16" i="7"/>
  <c r="D15" i="7"/>
  <c r="D20" i="7"/>
  <c r="D12" i="7"/>
  <c r="D11" i="7"/>
  <c r="D10" i="7"/>
  <c r="D8" i="7"/>
  <c r="D7" i="7"/>
  <c r="D25" i="7"/>
  <c r="B1" i="7"/>
  <c r="E3" i="7"/>
  <c r="F37" i="7"/>
  <c r="B36" i="7" s="1"/>
  <c r="B43" i="7" l="1"/>
  <c r="L23" i="1"/>
  <c r="I41" i="1"/>
  <c r="I38" i="1"/>
  <c r="I42" i="1"/>
  <c r="I39" i="1"/>
  <c r="I40" i="1"/>
  <c r="L20" i="1"/>
  <c r="N20" i="1"/>
  <c r="T29" i="2" l="1"/>
  <c r="T28" i="2"/>
  <c r="T26" i="2"/>
  <c r="S31" i="2"/>
  <c r="T23" i="2"/>
  <c r="T22" i="2"/>
  <c r="T20" i="2"/>
  <c r="T21" i="2"/>
  <c r="A69" i="2"/>
  <c r="A104" i="2" s="1"/>
  <c r="A65" i="2"/>
  <c r="A100" i="2" s="1"/>
  <c r="A66" i="2"/>
  <c r="A101" i="2" s="1"/>
  <c r="A67" i="2"/>
  <c r="A102" i="2" s="1"/>
  <c r="A68" i="2"/>
  <c r="A103" i="2" s="1"/>
  <c r="A60" i="2"/>
  <c r="A95" i="2" s="1"/>
  <c r="A61" i="2"/>
  <c r="A96" i="2" s="1"/>
  <c r="A62" i="2"/>
  <c r="A97" i="2" s="1"/>
  <c r="A63" i="2"/>
  <c r="A98" i="2" s="1"/>
  <c r="A64" i="2"/>
  <c r="A99" i="2" s="1"/>
  <c r="G1" i="5"/>
  <c r="A50" i="2"/>
  <c r="A85" i="2" s="1"/>
  <c r="A51" i="2"/>
  <c r="A86" i="2" s="1"/>
  <c r="A52" i="2"/>
  <c r="A87" i="2" s="1"/>
  <c r="A53" i="2"/>
  <c r="A88" i="2" s="1"/>
  <c r="A54" i="2"/>
  <c r="A89" i="2" s="1"/>
  <c r="A55" i="2"/>
  <c r="A90" i="2" s="1"/>
  <c r="A56" i="2"/>
  <c r="J25" i="1" s="1"/>
  <c r="A57" i="2"/>
  <c r="A92" i="2" s="1"/>
  <c r="A58" i="2"/>
  <c r="A93" i="2" s="1"/>
  <c r="A59" i="2"/>
  <c r="A94" i="2" s="1"/>
  <c r="T31" i="2" l="1"/>
  <c r="T33" i="2" s="1"/>
  <c r="S33" i="2"/>
  <c r="T25" i="2"/>
  <c r="A91" i="2"/>
  <c r="T24" i="2"/>
  <c r="S30" i="2"/>
  <c r="S27" i="2"/>
  <c r="T27" i="2" s="1"/>
  <c r="V11" i="2"/>
  <c r="U8" i="2"/>
  <c r="U9" i="2" s="1"/>
  <c r="A44" i="2"/>
  <c r="A79" i="2" s="1"/>
  <c r="A45" i="2"/>
  <c r="A80" i="2" s="1"/>
  <c r="T5" i="2"/>
  <c r="S5" i="2"/>
  <c r="S7" i="2"/>
  <c r="T6" i="2"/>
  <c r="T7" i="2" s="1"/>
  <c r="D14" i="3"/>
  <c r="E14" i="3"/>
  <c r="F14" i="3"/>
  <c r="G14" i="3"/>
  <c r="H14" i="3"/>
  <c r="I14" i="3"/>
  <c r="J14" i="3"/>
  <c r="C14" i="3"/>
  <c r="U10" i="2" l="1"/>
  <c r="U13" i="2" s="1"/>
  <c r="U12" i="2"/>
  <c r="T30" i="2"/>
  <c r="S32" i="2"/>
  <c r="T32" i="2" s="1"/>
  <c r="P20" i="1"/>
  <c r="U11" i="2"/>
  <c r="T4" i="2" l="1"/>
  <c r="S4" i="2"/>
  <c r="A40" i="2"/>
  <c r="A75" i="2" s="1"/>
  <c r="A41" i="2"/>
  <c r="A76" i="2" s="1"/>
  <c r="A42" i="2"/>
  <c r="A77" i="2" s="1"/>
  <c r="A43" i="2"/>
  <c r="A78" i="2" s="1"/>
  <c r="A39" i="2"/>
  <c r="E20" i="7" l="1"/>
  <c r="F20" i="7" s="1"/>
  <c r="E16" i="7"/>
  <c r="F16" i="7" s="1"/>
  <c r="E12" i="7"/>
  <c r="F12" i="7" s="1"/>
  <c r="E8" i="7"/>
  <c r="F8" i="7" s="1"/>
  <c r="E22" i="7"/>
  <c r="F22" i="7" s="1"/>
  <c r="E14" i="7"/>
  <c r="F14" i="7" s="1"/>
  <c r="E17" i="7"/>
  <c r="F17" i="7" s="1"/>
  <c r="E9" i="7"/>
  <c r="F9" i="7" s="1"/>
  <c r="E23" i="7"/>
  <c r="F23" i="7" s="1"/>
  <c r="E19" i="7"/>
  <c r="F19" i="7" s="1"/>
  <c r="E15" i="7"/>
  <c r="F15" i="7" s="1"/>
  <c r="E11" i="7"/>
  <c r="F11" i="7" s="1"/>
  <c r="E7" i="7"/>
  <c r="F7" i="7" s="1"/>
  <c r="E18" i="7"/>
  <c r="F18" i="7" s="1"/>
  <c r="E10" i="7"/>
  <c r="F10" i="7" s="1"/>
  <c r="E21" i="7"/>
  <c r="F21" i="7" s="1"/>
  <c r="E13" i="7"/>
  <c r="F13" i="7" s="1"/>
  <c r="A74" i="2"/>
  <c r="G23" i="7" l="1"/>
  <c r="G7" i="7"/>
  <c r="G10" i="7"/>
  <c r="H10" i="7" s="1"/>
  <c r="G13" i="7"/>
  <c r="H13" i="7" s="1"/>
  <c r="G12" i="7"/>
  <c r="G15" i="7"/>
  <c r="H15" i="7" s="1"/>
  <c r="G21" i="7"/>
  <c r="H21" i="7" s="1"/>
  <c r="G19" i="7"/>
  <c r="H19" i="7" s="1"/>
  <c r="G22" i="7"/>
  <c r="H22" i="7" s="1"/>
  <c r="E2" i="7"/>
  <c r="G9" i="7"/>
  <c r="H9" i="7" s="1"/>
  <c r="G8" i="7"/>
  <c r="H8" i="7" s="1"/>
  <c r="G18" i="7"/>
  <c r="H18" i="7" s="1"/>
  <c r="G20" i="7"/>
  <c r="H20" i="7" s="1"/>
  <c r="G11" i="7"/>
  <c r="H11" i="7" s="1"/>
  <c r="G14" i="7"/>
  <c r="H14" i="7" s="1"/>
  <c r="G17" i="7"/>
  <c r="H17" i="7" s="1"/>
  <c r="G16" i="7"/>
  <c r="H16" i="7" s="1"/>
  <c r="F28" i="7"/>
  <c r="B33" i="7" s="1"/>
  <c r="H32" i="1" s="1"/>
  <c r="H7" i="7"/>
  <c r="H12" i="7"/>
  <c r="H23" i="7"/>
  <c r="G2" i="5"/>
  <c r="B2" i="7" l="1"/>
  <c r="H1" i="7" s="1"/>
  <c r="B38" i="7" s="1"/>
  <c r="J30" i="1" s="1"/>
  <c r="J31" i="1" s="1"/>
  <c r="B41" i="7"/>
  <c r="J34" i="1" s="1"/>
  <c r="J33" i="1" s="1"/>
  <c r="B3" i="7"/>
  <c r="H3" i="7" s="1"/>
  <c r="B39" i="7" s="1"/>
  <c r="L30" i="1" s="1"/>
  <c r="B40" i="7"/>
  <c r="H28" i="7"/>
  <c r="B35" i="7" s="1"/>
  <c r="B37" i="7" s="1"/>
  <c r="H30" i="1" s="1"/>
  <c r="B26" i="7"/>
  <c r="D26" i="7" s="1"/>
  <c r="B27" i="7"/>
  <c r="D27" i="7" s="1"/>
  <c r="C4" i="5"/>
  <c r="D4" i="5" s="1"/>
  <c r="C3" i="5"/>
  <c r="D3" i="5" s="1"/>
  <c r="C7" i="5"/>
  <c r="D7" i="5" s="1"/>
  <c r="C5" i="5"/>
  <c r="D5" i="5" s="1"/>
  <c r="C6" i="5"/>
  <c r="D6" i="5" s="1"/>
  <c r="D28" i="7" l="1"/>
  <c r="B30" i="7" s="1"/>
  <c r="B42" i="7"/>
  <c r="H33" i="1" s="1"/>
  <c r="L24" i="1"/>
  <c r="B31" i="7"/>
  <c r="L31" i="1"/>
  <c r="H31" i="1" l="1"/>
  <c r="B32" i="7"/>
  <c r="B34" i="7" s="1"/>
  <c r="F32" i="1" s="1"/>
  <c r="F21" i="1" s="1"/>
  <c r="J24" i="1"/>
  <c r="H34" i="1"/>
  <c r="F30" i="1" l="1"/>
  <c r="F19" i="1" s="1"/>
  <c r="F33" i="1"/>
  <c r="F22" i="1" s="1"/>
  <c r="F34" i="1"/>
  <c r="F23" i="1" s="1"/>
  <c r="F31" i="1"/>
  <c r="F20" i="1" s="1"/>
  <c r="L19" i="1" l="1"/>
  <c r="N19" i="1"/>
  <c r="P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Nicole Busto</author>
  </authors>
  <commentList>
    <comment ref="P9" authorId="0" shapeId="0" xr:uid="{00000000-0006-0000-0000-000001000000}">
      <text>
        <r>
          <rPr>
            <b/>
            <sz val="10"/>
            <color indexed="81"/>
            <rFont val="Calibri"/>
            <family val="2"/>
          </rPr>
          <t>Billing Period Length:</t>
        </r>
        <r>
          <rPr>
            <sz val="10"/>
            <color indexed="81"/>
            <rFont val="Calibri"/>
            <family val="2"/>
          </rPr>
          <t xml:space="preserve">
Certain PG&amp;E delivery charges are affected by the length of your billing period. If the data reviewed is for a longer or shorter period than indicated, it can be adjusted.</t>
        </r>
      </text>
    </comment>
    <comment ref="P10" authorId="0" shapeId="0" xr:uid="{00000000-0006-0000-0000-000002000000}">
      <text>
        <r>
          <rPr>
            <b/>
            <sz val="10"/>
            <color indexed="81"/>
            <rFont val="Calibri"/>
            <family val="2"/>
          </rPr>
          <t>Start of Service Date:</t>
        </r>
        <r>
          <rPr>
            <sz val="10"/>
            <color indexed="81"/>
            <rFont val="Calibri"/>
            <family val="2"/>
          </rPr>
          <t xml:space="preserve">
PG&amp;E assesses fees to customers which choose a provider other than PG&amp;E. This fee is based on when you leave PG&amp;E service (and your rate), and defaults to today's date.</t>
        </r>
      </text>
    </comment>
    <comment ref="P11" authorId="0" shapeId="0" xr:uid="{00000000-0006-0000-0000-000003000000}">
      <text>
        <r>
          <rPr>
            <b/>
            <sz val="10"/>
            <color indexed="81"/>
            <rFont val="Calibri"/>
            <family val="2"/>
          </rPr>
          <t>Franchise Fee Exemption:</t>
        </r>
        <r>
          <rPr>
            <sz val="10"/>
            <color indexed="81"/>
            <rFont val="Calibri"/>
            <family val="2"/>
          </rPr>
          <t xml:space="preserve">
Customers which are a subdivision of the State of California (such as state facilities, city facilities, school districts) are exempt from the Franchise Fee Surcharge.</t>
        </r>
      </text>
    </comment>
    <comment ref="P12" authorId="0" shapeId="0" xr:uid="{00000000-0006-0000-0000-000004000000}">
      <text>
        <r>
          <rPr>
            <b/>
            <sz val="10"/>
            <color indexed="81"/>
            <rFont val="Calibri"/>
            <family val="2"/>
          </rPr>
          <t>Phase:</t>
        </r>
        <r>
          <rPr>
            <sz val="10"/>
            <color indexed="81"/>
            <rFont val="Calibri"/>
            <family val="2"/>
          </rPr>
          <t xml:space="preserve">
Some small business customers may be either single-phase or poly-phase, impacting monthly PG&amp;E meter charges.</t>
        </r>
      </text>
    </comment>
    <comment ref="P13" authorId="0" shapeId="0" xr:uid="{00000000-0006-0000-0000-000005000000}">
      <text>
        <r>
          <rPr>
            <b/>
            <sz val="10"/>
            <color rgb="FF000000"/>
            <rFont val="Calibri"/>
            <family val="2"/>
          </rPr>
          <t>CARE Discount:</t>
        </r>
        <r>
          <rPr>
            <sz val="10"/>
            <color rgb="FF000000"/>
            <rFont val="Calibri"/>
            <family val="2"/>
          </rPr>
          <t xml:space="preserve">
</t>
        </r>
        <r>
          <rPr>
            <sz val="10"/>
            <color rgb="FF000000"/>
            <rFont val="Calibri"/>
            <family val="2"/>
          </rPr>
          <t>CARE is a low-income discount available to qualifying residential households; certain businesses may (rarely) also qualify. Available to PG&amp;E and PCEA customers equally.</t>
        </r>
      </text>
    </comment>
    <comment ref="P15" authorId="0" shapeId="0" xr:uid="{00000000-0006-0000-0000-000006000000}">
      <text>
        <r>
          <rPr>
            <b/>
            <sz val="10"/>
            <color indexed="81"/>
            <rFont val="Calibri"/>
            <family val="2"/>
          </rPr>
          <t>E19 Voluntary/Mandatory:</t>
        </r>
        <r>
          <rPr>
            <sz val="10"/>
            <color indexed="81"/>
            <rFont val="Calibri"/>
            <family val="2"/>
          </rPr>
          <t xml:space="preserve">
Customers may participate in the E19 on a voluntary or required basis due to their high usage. Voluntary assignment is denoted by the letter "V" (e.g. E19SV)</t>
        </r>
      </text>
    </comment>
  </commentList>
</comments>
</file>

<file path=xl/sharedStrings.xml><?xml version="1.0" encoding="utf-8"?>
<sst xmlns="http://schemas.openxmlformats.org/spreadsheetml/2006/main" count="294" uniqueCount="187">
  <si>
    <t>Rate Schedules</t>
  </si>
  <si>
    <t>Summer</t>
  </si>
  <si>
    <t>Winter</t>
  </si>
  <si>
    <t>Flat Rate Options</t>
  </si>
  <si>
    <t>TOU Rate Options</t>
  </si>
  <si>
    <t>Summer Peak</t>
  </si>
  <si>
    <t>Summer Partial</t>
  </si>
  <si>
    <t>Summer Off</t>
  </si>
  <si>
    <t>Winter Peak</t>
  </si>
  <si>
    <t>Winter Partial</t>
  </si>
  <si>
    <t>Winter Off</t>
  </si>
  <si>
    <t>Demand Charges</t>
  </si>
  <si>
    <t>Summer Part</t>
  </si>
  <si>
    <t>Summer Maximum</t>
  </si>
  <si>
    <t>Winter Max</t>
  </si>
  <si>
    <t>All</t>
  </si>
  <si>
    <t>Bundled Charges</t>
  </si>
  <si>
    <t>PG&amp;E Generation</t>
  </si>
  <si>
    <t>Per Meter/Day</t>
  </si>
  <si>
    <t>PCIA</t>
  </si>
  <si>
    <t>FFS</t>
  </si>
  <si>
    <t>Residential</t>
  </si>
  <si>
    <t>A1</t>
  </si>
  <si>
    <t>A10</t>
  </si>
  <si>
    <t>E19</t>
  </si>
  <si>
    <t>E20S</t>
  </si>
  <si>
    <t>E20P</t>
  </si>
  <si>
    <t>E20T</t>
  </si>
  <si>
    <t>Streelights</t>
  </si>
  <si>
    <t>Standby</t>
  </si>
  <si>
    <t>Agriculture</t>
  </si>
  <si>
    <t>PCIA Mapping</t>
  </si>
  <si>
    <t>Start of Service Date:</t>
  </si>
  <si>
    <t>Franchise Fee Exemption:</t>
  </si>
  <si>
    <t>No</t>
  </si>
  <si>
    <t>PCIA Determination</t>
  </si>
  <si>
    <t>PCIA Rate</t>
  </si>
  <si>
    <t>PCIA Class</t>
  </si>
  <si>
    <t>Bundled Rate Components</t>
  </si>
  <si>
    <t>Winter Part</t>
  </si>
  <si>
    <t>Demand Summer Max</t>
  </si>
  <si>
    <t>Demand Summer Peak</t>
  </si>
  <si>
    <t>Demand Summer Part</t>
  </si>
  <si>
    <t>Demand Winter Max</t>
  </si>
  <si>
    <t>Demand Winter Peak</t>
  </si>
  <si>
    <t>Demand Winter Part</t>
  </si>
  <si>
    <t>Single-phase</t>
  </si>
  <si>
    <t>Poly-phase</t>
  </si>
  <si>
    <t>Total Charges</t>
  </si>
  <si>
    <t>PG&amp;E Standard</t>
  </si>
  <si>
    <t>Renewable Content</t>
  </si>
  <si>
    <t>kWh/KW</t>
  </si>
  <si>
    <t>Bundled Rate</t>
  </si>
  <si>
    <t>Bundled Charge</t>
  </si>
  <si>
    <t>PG&amp;E Gen Rate</t>
  </si>
  <si>
    <t>PG&amp;E Gen Charge</t>
  </si>
  <si>
    <t>PCIA Charge</t>
  </si>
  <si>
    <t>Usage Eligible</t>
  </si>
  <si>
    <t>PG&amp;E Bundled Total</t>
  </si>
  <si>
    <t>PG&amp;E Gen</t>
  </si>
  <si>
    <t>PG&amp;E T&amp;D</t>
  </si>
  <si>
    <t>FF</t>
  </si>
  <si>
    <t>FF Charge</t>
  </si>
  <si>
    <t>FF Rate</t>
  </si>
  <si>
    <t>Pre-2009</t>
  </si>
  <si>
    <t>Franchise Fee</t>
  </si>
  <si>
    <t>Solar Choice Premium</t>
  </si>
  <si>
    <t>Solar Prem. (Solar Choice Premium)</t>
  </si>
  <si>
    <t>… without PCIA</t>
  </si>
  <si>
    <t>Solar Choice PCIA</t>
  </si>
  <si>
    <t>PG&amp;E Delivery Cost</t>
  </si>
  <si>
    <t>Generation Cost</t>
  </si>
  <si>
    <t>Service Options</t>
  </si>
  <si>
    <t>Phase:</t>
  </si>
  <si>
    <t>Total Cost Summary</t>
  </si>
  <si>
    <t>Breakdown of Charges by Service</t>
  </si>
  <si>
    <t>PCIA (PG&amp;E Fee)</t>
  </si>
  <si>
    <t>Breakdown of Energy Content</t>
  </si>
  <si>
    <t>Description</t>
  </si>
  <si>
    <t>Premium PG&amp;E service, 50% standard and 50% solar power</t>
  </si>
  <si>
    <t>Premium PG&amp;E service, 100% solar power</t>
  </si>
  <si>
    <t xml:space="preserve">(opt out) Basic PG&amp;E service </t>
  </si>
  <si>
    <t>Total Cost</t>
  </si>
  <si>
    <t>Difference</t>
  </si>
  <si>
    <t>Renewable %</t>
  </si>
  <si>
    <t>CARE Discount:</t>
  </si>
  <si>
    <t>Medical Baseline Exemption:</t>
  </si>
  <si>
    <t>Determined PCIA Vintage:</t>
  </si>
  <si>
    <t>Mandatory</t>
  </si>
  <si>
    <t>Voluntary</t>
  </si>
  <si>
    <t>Total</t>
  </si>
  <si>
    <t>Eligible NEM Bonus Usage</t>
  </si>
  <si>
    <t>Commercial Care Discounts</t>
  </si>
  <si>
    <t>A6</t>
  </si>
  <si>
    <t>E20</t>
  </si>
  <si>
    <t>CARE Ind?</t>
  </si>
  <si>
    <t>Eligible Usage</t>
  </si>
  <si>
    <t>Usage</t>
  </si>
  <si>
    <t>Discount</t>
  </si>
  <si>
    <t>Raw Total</t>
  </si>
  <si>
    <t>CARE Discount</t>
  </si>
  <si>
    <t>Your Rate:</t>
  </si>
  <si>
    <t>Non Time-of-Use Usage Data:</t>
  </si>
  <si>
    <t>The PG&amp;E rate selected for billing your account. Different rates utilize different usage data to determine your charges due. Selecting a rate will highlight required usage.</t>
  </si>
  <si>
    <t>Basic and older electric rates may charge you based on total usage, regardless of what time of day it is used. This usage may still be divided seasonally as defined by PG&amp;E.</t>
  </si>
  <si>
    <t>Time-of-Use Usage Data:</t>
  </si>
  <si>
    <t>Usage data which is specific to certain times of the day. This is divided into peak, partial peak, and off peak periods and is also divided seasonally.</t>
  </si>
  <si>
    <t>Demand-Based Usage Data:</t>
  </si>
  <si>
    <t>Large business customers are also assessed demand charges, which are based on their maximum use of electricity during certain points of a billing cycle.</t>
  </si>
  <si>
    <t>Required Account Data Terms</t>
  </si>
  <si>
    <t>Optional Account Data Terms</t>
  </si>
  <si>
    <t>Billing Period Length:</t>
  </si>
  <si>
    <t>E19 Voluntary/Mandatory:</t>
  </si>
  <si>
    <t>Certain PG&amp;E delivery charges are affected by the length of your billing period. If the data reviewed is for a longer or shorter period than indicated, it can be adjusted.</t>
  </si>
  <si>
    <t>PG&amp;E assesses fees to customers which choose a provider other than PG&amp;E. This fee is based on when you leave PG&amp;E service (and your rate), and defaults to today's date.</t>
  </si>
  <si>
    <t>Customers which are a subdivision of the State of California (such as state facilities, city facilities, school districts) are exempt from the Franchise Fee Surcharge.</t>
  </si>
  <si>
    <t>Some small business customers may be either single-phase or poly-phase, impacting monthly PG&amp;E meter charges.</t>
  </si>
  <si>
    <t>TC-1</t>
  </si>
  <si>
    <t>AG-1A</t>
  </si>
  <si>
    <t>AG-1B</t>
  </si>
  <si>
    <t>AG-4A</t>
  </si>
  <si>
    <t>AG-4B</t>
  </si>
  <si>
    <t>AG-4C</t>
  </si>
  <si>
    <t>AG-5A, AG-5D</t>
  </si>
  <si>
    <t>AG-5B, AG-5E</t>
  </si>
  <si>
    <t>AG-5C, AG-5F</t>
  </si>
  <si>
    <t>AG-RA</t>
  </si>
  <si>
    <t>AG-RB</t>
  </si>
  <si>
    <t>AG-VA</t>
  </si>
  <si>
    <t>AG-VB</t>
  </si>
  <si>
    <t>Non-sea/non-tou</t>
  </si>
  <si>
    <t>Summer seasonal</t>
  </si>
  <si>
    <t>Winter Seasonal</t>
  </si>
  <si>
    <t>Conn. Load Win.</t>
  </si>
  <si>
    <t>Conn. Load Sum.</t>
  </si>
  <si>
    <t>Conn. Load Summer</t>
  </si>
  <si>
    <t>Conn. Load Winter</t>
  </si>
  <si>
    <t>PG&amp;E Solar Choice (50%)</t>
  </si>
  <si>
    <t>PG&amp;E Solar Choice (100%)</t>
  </si>
  <si>
    <t>Billing Period Length (days):</t>
  </si>
  <si>
    <t>(E19 Only) Voluntary or Mandatory Service:</t>
  </si>
  <si>
    <t>Normalized PCIA</t>
  </si>
  <si>
    <t>Optional Information</t>
  </si>
  <si>
    <t>Required Information</t>
  </si>
  <si>
    <t>Your Rate</t>
  </si>
  <si>
    <t>Your Usage</t>
  </si>
  <si>
    <t>Glossary of Terms</t>
  </si>
  <si>
    <t>Additional Billing Details</t>
  </si>
  <si>
    <t>Compare Options (select two from the orange menus below)</t>
  </si>
  <si>
    <t>Customers may participate in the E19 on a voluntary or required basis due to their high usage. Voluntary assignment is denoted by the letter "V" (e.g. E19SV)</t>
  </si>
  <si>
    <t>Start of PCEA Service Date:</t>
  </si>
  <si>
    <t>Premium PCEA service, 100% renewable power (wind/solar)</t>
  </si>
  <si>
    <t>CARE is a low-income discount available to qualifying residential households; certain businesses may (rarely) also qualify. Available to PG&amp;E and PCEA customers equally.</t>
  </si>
  <si>
    <t>Customers with needed medical equipment may receive an adjustment to their tiered delivery rates. Available to PG&amp;E and PCEA customers equally.</t>
  </si>
  <si>
    <t>PCEA Generation</t>
  </si>
  <si>
    <t>A-1-A</t>
  </si>
  <si>
    <t>A-1-B (TOU)</t>
  </si>
  <si>
    <t>A-10-A</t>
  </si>
  <si>
    <t>A-10-B (TOU)</t>
  </si>
  <si>
    <t>E-19-S</t>
  </si>
  <si>
    <t>E-19-P</t>
  </si>
  <si>
    <t>E-19-R-S</t>
  </si>
  <si>
    <t>E-19-T</t>
  </si>
  <si>
    <t>E-19-R-P</t>
  </si>
  <si>
    <t>E-19-R-T</t>
  </si>
  <si>
    <t>E-20-S</t>
  </si>
  <si>
    <t>E-20-P</t>
  </si>
  <si>
    <t>E-20-T</t>
  </si>
  <si>
    <t>E-20-R-S</t>
  </si>
  <si>
    <t>E-20-R-T</t>
  </si>
  <si>
    <t>E-20-R-P</t>
  </si>
  <si>
    <t>SL</t>
  </si>
  <si>
    <t>Eco100 Rate</t>
  </si>
  <si>
    <t>PCE Business Rate Calculator</t>
  </si>
  <si>
    <t>PCE EcoPlus (50%)</t>
  </si>
  <si>
    <t>PCE Eco100 (100%)</t>
  </si>
  <si>
    <t>(default option) Basic PCE service, at least 50% renewable</t>
  </si>
  <si>
    <t>Solar Charge</t>
  </si>
  <si>
    <t>Gen Credit</t>
  </si>
  <si>
    <t>Program Charge</t>
  </si>
  <si>
    <t>Updated 3/14/2018</t>
  </si>
  <si>
    <t>PCE Gen Only</t>
  </si>
  <si>
    <t>PCE NEM Bonus</t>
  </si>
  <si>
    <t>PCE Gen</t>
  </si>
  <si>
    <t>ECO100 Premium</t>
  </si>
  <si>
    <t>PCE Gen Rate</t>
  </si>
  <si>
    <t>PCE Gen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</si>
</sst>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quot;$&quot;#,##0.00"/>
    <numFmt numFmtId="165" formatCode="_(* #,##0.00000_);_(* \(#,##0.00000\);_(* &quot;-&quot;??_);_(@_)"/>
    <numFmt numFmtId="166" formatCode="0.00000"/>
  </numFmts>
  <fonts count="22" x14ac:knownFonts="1">
    <font>
      <sz val="11"/>
      <color theme="1"/>
      <name val="Calibri"/>
      <family val="2"/>
      <scheme val="minor"/>
    </font>
    <font>
      <b/>
      <sz val="11"/>
      <color rgb="FFFA7D00"/>
      <name val="Calibri"/>
      <family val="2"/>
      <scheme val="minor"/>
    </font>
    <font>
      <b/>
      <u/>
      <sz val="11"/>
      <color theme="1"/>
      <name val="Calibri"/>
      <family val="2"/>
      <scheme val="minor"/>
    </font>
    <font>
      <sz val="11"/>
      <color rgb="FFFF0000"/>
      <name val="Calibri"/>
      <family val="2"/>
      <scheme val="minor"/>
    </font>
    <font>
      <b/>
      <sz val="11"/>
      <color theme="1"/>
      <name val="Calibri"/>
      <family val="2"/>
      <scheme val="minor"/>
    </font>
    <font>
      <sz val="11"/>
      <color rgb="FF3F3F76"/>
      <name val="Calibri"/>
      <family val="2"/>
      <scheme val="minor"/>
    </font>
    <font>
      <i/>
      <sz val="11"/>
      <color theme="1"/>
      <name val="Calibri"/>
      <family val="2"/>
      <scheme val="minor"/>
    </font>
    <font>
      <sz val="11"/>
      <name val="Calibri"/>
      <family val="2"/>
      <scheme val="minor"/>
    </font>
    <font>
      <b/>
      <sz val="11"/>
      <color theme="0" tint="-0.499984740745262"/>
      <name val="Calibri"/>
      <family val="2"/>
      <scheme val="minor"/>
    </font>
    <font>
      <b/>
      <sz val="11"/>
      <name val="Calibri"/>
      <family val="2"/>
      <scheme val="minor"/>
    </font>
    <font>
      <sz val="10"/>
      <color theme="0" tint="-0.499984740745262"/>
      <name val="Calibri"/>
      <family val="2"/>
      <scheme val="minor"/>
    </font>
    <font>
      <b/>
      <sz val="16"/>
      <color theme="1"/>
      <name val="Calibri"/>
      <family val="2"/>
      <scheme val="minor"/>
    </font>
    <font>
      <b/>
      <sz val="20"/>
      <color theme="1"/>
      <name val="Calibri"/>
      <family val="2"/>
      <scheme val="minor"/>
    </font>
    <font>
      <b/>
      <sz val="14"/>
      <color rgb="FFFF0000"/>
      <name val="Calibri"/>
      <family val="2"/>
      <scheme val="minor"/>
    </font>
    <font>
      <b/>
      <u/>
      <sz val="20"/>
      <color theme="1"/>
      <name val="Calibri"/>
      <family val="2"/>
      <scheme val="minor"/>
    </font>
    <font>
      <sz val="11"/>
      <color theme="1" tint="0.249977111117893"/>
      <name val="Calibri"/>
      <family val="2"/>
      <scheme val="minor"/>
    </font>
    <font>
      <b/>
      <sz val="10"/>
      <color indexed="81"/>
      <name val="Calibri"/>
      <family val="2"/>
    </font>
    <font>
      <sz val="10"/>
      <color indexed="81"/>
      <name val="Calibri"/>
      <family val="2"/>
    </font>
    <font>
      <sz val="11"/>
      <color theme="1"/>
      <name val="Calibri"/>
      <family val="2"/>
      <scheme val="minor"/>
    </font>
    <font>
      <sz val="10"/>
      <name val="Arial"/>
      <family val="2"/>
    </font>
    <font>
      <b/>
      <sz val="10"/>
      <color rgb="FF000000"/>
      <name val="Calibri"/>
      <family val="2"/>
    </font>
    <font>
      <sz val="10"/>
      <color rgb="FF000000"/>
      <name val="Calibri"/>
      <family val="2"/>
    </font>
  </fonts>
  <fills count="12">
    <fill>
      <patternFill patternType="none"/>
    </fill>
    <fill>
      <patternFill patternType="gray125"/>
    </fill>
    <fill>
      <patternFill patternType="solid">
        <fgColor rgb="FFF2F2F2"/>
      </patternFill>
    </fill>
    <fill>
      <patternFill patternType="solid">
        <fgColor rgb="FFFFCC99"/>
      </patternFill>
    </fill>
    <fill>
      <patternFill patternType="solid">
        <fgColor theme="4"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CEF02A"/>
        <bgColor indexed="64"/>
      </patternFill>
    </fill>
    <fill>
      <patternFill patternType="solid">
        <fgColor theme="7" tint="0.39997558519241921"/>
        <bgColor indexed="64"/>
      </patternFill>
    </fill>
    <fill>
      <patternFill patternType="solid">
        <fgColor theme="9"/>
        <bgColor indexed="64"/>
      </patternFill>
    </fill>
    <fill>
      <patternFill patternType="solid">
        <fgColor rgb="FF92D050"/>
        <bgColor indexed="64"/>
      </patternFill>
    </fill>
  </fills>
  <borders count="19">
    <border>
      <left/>
      <right/>
      <top/>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thin">
        <color rgb="FF7F7F7F"/>
      </left>
      <right style="thin">
        <color rgb="FF7F7F7F"/>
      </right>
      <top style="medium">
        <color indexed="64"/>
      </top>
      <bottom/>
      <diagonal/>
    </border>
    <border>
      <left style="medium">
        <color indexed="64"/>
      </left>
      <right style="medium">
        <color indexed="64"/>
      </right>
      <top style="medium">
        <color indexed="64"/>
      </top>
      <bottom/>
      <diagonal/>
    </border>
    <border>
      <left style="thin">
        <color rgb="FF7F7F7F"/>
      </left>
      <right style="thin">
        <color rgb="FF7F7F7F"/>
      </right>
      <top style="thin">
        <color rgb="FF7F7F7F"/>
      </top>
      <bottom style="medium">
        <color indexed="64"/>
      </bottom>
      <diagonal/>
    </border>
  </borders>
  <cellStyleXfs count="5">
    <xf numFmtId="0" fontId="0" fillId="0" borderId="0"/>
    <xf numFmtId="0" fontId="1" fillId="2" borderId="1" applyNumberFormat="0" applyAlignment="0" applyProtection="0"/>
    <xf numFmtId="0" fontId="5" fillId="3" borderId="1" applyNumberFormat="0" applyAlignment="0" applyProtection="0"/>
    <xf numFmtId="9" fontId="18" fillId="0" borderId="0" applyFont="0" applyFill="0" applyBorder="0" applyAlignment="0" applyProtection="0"/>
    <xf numFmtId="0" fontId="19" fillId="0" borderId="0"/>
  </cellStyleXfs>
  <cellXfs count="133">
    <xf numFmtId="0" fontId="0" fillId="0" borderId="0" xfId="0"/>
    <xf numFmtId="0" fontId="2" fillId="0" borderId="0" xfId="0" applyFont="1"/>
    <xf numFmtId="0" fontId="4" fillId="0" borderId="0" xfId="0" applyFont="1"/>
    <xf numFmtId="0" fontId="3" fillId="0" borderId="0" xfId="0" applyFont="1"/>
    <xf numFmtId="0" fontId="4" fillId="4" borderId="6" xfId="0" applyFont="1" applyFill="1" applyBorder="1"/>
    <xf numFmtId="0" fontId="7" fillId="0" borderId="0" xfId="0" applyFont="1"/>
    <xf numFmtId="0" fontId="4" fillId="4" borderId="0" xfId="0" applyFont="1" applyFill="1" applyBorder="1"/>
    <xf numFmtId="0" fontId="0" fillId="5" borderId="0" xfId="0" applyFill="1" applyBorder="1"/>
    <xf numFmtId="0" fontId="4" fillId="4" borderId="8" xfId="0" applyFont="1" applyFill="1" applyBorder="1"/>
    <xf numFmtId="0" fontId="4" fillId="4" borderId="9" xfId="0" applyFont="1" applyFill="1" applyBorder="1"/>
    <xf numFmtId="0" fontId="4" fillId="6" borderId="0" xfId="0" applyFont="1" applyFill="1" applyBorder="1"/>
    <xf numFmtId="0" fontId="0" fillId="6" borderId="0" xfId="0" applyFill="1" applyBorder="1"/>
    <xf numFmtId="0" fontId="4" fillId="7" borderId="11" xfId="0" applyFont="1" applyFill="1" applyBorder="1"/>
    <xf numFmtId="0" fontId="4" fillId="7" borderId="15" xfId="0" applyFont="1" applyFill="1" applyBorder="1"/>
    <xf numFmtId="0" fontId="0" fillId="7" borderId="15" xfId="0" applyFill="1" applyBorder="1"/>
    <xf numFmtId="0" fontId="0" fillId="7" borderId="12" xfId="0" applyFill="1" applyBorder="1"/>
    <xf numFmtId="0" fontId="4" fillId="7" borderId="4" xfId="0" applyFont="1" applyFill="1" applyBorder="1"/>
    <xf numFmtId="0" fontId="4" fillId="7" borderId="5" xfId="0" applyFont="1" applyFill="1" applyBorder="1"/>
    <xf numFmtId="0" fontId="4" fillId="7" borderId="3" xfId="0" applyFont="1" applyFill="1" applyBorder="1"/>
    <xf numFmtId="0" fontId="0" fillId="7" borderId="4" xfId="0" applyFill="1" applyBorder="1"/>
    <xf numFmtId="0" fontId="0" fillId="7" borderId="5" xfId="0" applyFill="1" applyBorder="1"/>
    <xf numFmtId="164" fontId="0" fillId="7" borderId="17" xfId="0" applyNumberFormat="1" applyFill="1" applyBorder="1" applyAlignment="1">
      <alignment horizontal="center"/>
    </xf>
    <xf numFmtId="164" fontId="0" fillId="7" borderId="13" xfId="0" applyNumberFormat="1" applyFill="1" applyBorder="1" applyAlignment="1">
      <alignment horizontal="center"/>
    </xf>
    <xf numFmtId="164" fontId="0" fillId="7" borderId="14" xfId="0" applyNumberFormat="1" applyFill="1" applyBorder="1" applyAlignment="1">
      <alignment horizontal="center"/>
    </xf>
    <xf numFmtId="164" fontId="0" fillId="7" borderId="4" xfId="0" applyNumberFormat="1" applyFill="1" applyBorder="1"/>
    <xf numFmtId="164" fontId="0" fillId="7" borderId="5" xfId="0" applyNumberFormat="1" applyFill="1" applyBorder="1"/>
    <xf numFmtId="164" fontId="0" fillId="7" borderId="0" xfId="0" applyNumberFormat="1" applyFill="1" applyBorder="1"/>
    <xf numFmtId="164" fontId="0" fillId="7" borderId="7" xfId="0" applyNumberFormat="1" applyFill="1" applyBorder="1"/>
    <xf numFmtId="3" fontId="0" fillId="7" borderId="0" xfId="0" applyNumberFormat="1" applyFill="1" applyBorder="1"/>
    <xf numFmtId="0" fontId="0" fillId="7" borderId="7" xfId="0" applyFill="1" applyBorder="1" applyAlignment="1">
      <alignment horizontal="right"/>
    </xf>
    <xf numFmtId="3" fontId="0" fillId="7" borderId="9" xfId="0" applyNumberFormat="1" applyFill="1" applyBorder="1"/>
    <xf numFmtId="3" fontId="0" fillId="7" borderId="4" xfId="0" applyNumberFormat="1" applyFill="1" applyBorder="1"/>
    <xf numFmtId="0" fontId="0" fillId="7" borderId="0" xfId="0" applyFill="1" applyBorder="1"/>
    <xf numFmtId="164" fontId="0" fillId="7" borderId="7" xfId="0" applyNumberFormat="1" applyFill="1" applyBorder="1" applyAlignment="1">
      <alignment horizontal="right"/>
    </xf>
    <xf numFmtId="0" fontId="0" fillId="7" borderId="5" xfId="0" applyFill="1" applyBorder="1" applyAlignment="1">
      <alignment horizontal="right"/>
    </xf>
    <xf numFmtId="0" fontId="0" fillId="7" borderId="9" xfId="0" applyFill="1" applyBorder="1"/>
    <xf numFmtId="164" fontId="0" fillId="7" borderId="10" xfId="0" applyNumberFormat="1" applyFill="1" applyBorder="1" applyAlignment="1">
      <alignment horizontal="right"/>
    </xf>
    <xf numFmtId="0" fontId="4" fillId="5" borderId="0" xfId="0" applyFont="1" applyFill="1" applyBorder="1"/>
    <xf numFmtId="0" fontId="0" fillId="5" borderId="0" xfId="0" applyFill="1"/>
    <xf numFmtId="0" fontId="4" fillId="5" borderId="0" xfId="0" applyFont="1" applyFill="1"/>
    <xf numFmtId="0" fontId="0" fillId="5" borderId="0" xfId="0" applyFill="1" applyAlignment="1">
      <alignment horizontal="right"/>
    </xf>
    <xf numFmtId="164" fontId="0" fillId="5" borderId="0" xfId="0" applyNumberFormat="1" applyFill="1" applyBorder="1" applyAlignment="1">
      <alignment horizontal="center"/>
    </xf>
    <xf numFmtId="164" fontId="0" fillId="5" borderId="0" xfId="0" applyNumberFormat="1" applyFill="1"/>
    <xf numFmtId="0" fontId="4" fillId="7" borderId="8" xfId="0" applyFont="1" applyFill="1" applyBorder="1"/>
    <xf numFmtId="0" fontId="4" fillId="7" borderId="9" xfId="0" applyFont="1" applyFill="1" applyBorder="1"/>
    <xf numFmtId="0" fontId="0" fillId="7" borderId="3" xfId="0" applyFill="1" applyBorder="1"/>
    <xf numFmtId="0" fontId="1" fillId="7" borderId="16" xfId="1" applyFill="1" applyBorder="1"/>
    <xf numFmtId="0" fontId="1" fillId="7" borderId="4" xfId="1" applyFill="1" applyBorder="1"/>
    <xf numFmtId="0" fontId="0" fillId="0" borderId="0" xfId="0" applyFill="1"/>
    <xf numFmtId="164" fontId="0" fillId="5" borderId="0" xfId="0" applyNumberFormat="1" applyFill="1" applyBorder="1"/>
    <xf numFmtId="0" fontId="6" fillId="5" borderId="0" xfId="0" applyFont="1" applyFill="1"/>
    <xf numFmtId="0" fontId="11" fillId="5" borderId="0" xfId="0" applyFont="1" applyFill="1"/>
    <xf numFmtId="0" fontId="12" fillId="5" borderId="0" xfId="0" applyFont="1" applyFill="1"/>
    <xf numFmtId="0" fontId="14" fillId="5" borderId="0" xfId="0" applyFont="1" applyFill="1"/>
    <xf numFmtId="0" fontId="14" fillId="5" borderId="0" xfId="0" applyFont="1" applyFill="1" applyBorder="1"/>
    <xf numFmtId="0" fontId="4" fillId="8" borderId="3" xfId="0" applyFont="1" applyFill="1" applyBorder="1"/>
    <xf numFmtId="0" fontId="4" fillId="8" borderId="4" xfId="0" applyFont="1" applyFill="1" applyBorder="1"/>
    <xf numFmtId="0" fontId="0" fillId="8" borderId="4" xfId="0" applyFill="1" applyBorder="1"/>
    <xf numFmtId="0" fontId="0" fillId="9" borderId="3" xfId="0" applyFill="1" applyBorder="1"/>
    <xf numFmtId="0" fontId="0" fillId="9" borderId="4" xfId="0" applyFill="1" applyBorder="1"/>
    <xf numFmtId="0" fontId="0" fillId="9" borderId="4" xfId="0" applyFill="1" applyBorder="1" applyAlignment="1">
      <alignment horizontal="right"/>
    </xf>
    <xf numFmtId="3" fontId="0" fillId="9" borderId="4" xfId="0" applyNumberFormat="1" applyFill="1" applyBorder="1" applyProtection="1">
      <protection locked="0"/>
    </xf>
    <xf numFmtId="3" fontId="0" fillId="9" borderId="4" xfId="0" applyNumberFormat="1" applyFill="1" applyBorder="1"/>
    <xf numFmtId="0" fontId="0" fillId="9" borderId="5" xfId="0" applyFill="1" applyBorder="1" applyProtection="1">
      <protection locked="0"/>
    </xf>
    <xf numFmtId="0" fontId="0" fillId="9" borderId="6" xfId="0" applyFill="1" applyBorder="1" applyAlignment="1">
      <alignment horizontal="right"/>
    </xf>
    <xf numFmtId="0" fontId="0" fillId="9" borderId="0" xfId="0" applyFill="1" applyBorder="1"/>
    <xf numFmtId="3" fontId="0" fillId="9" borderId="0" xfId="0" applyNumberFormat="1" applyFill="1" applyBorder="1" applyProtection="1">
      <protection locked="0"/>
    </xf>
    <xf numFmtId="3" fontId="0" fillId="9" borderId="0" xfId="0" applyNumberFormat="1" applyFill="1" applyBorder="1"/>
    <xf numFmtId="0" fontId="0" fillId="9" borderId="0" xfId="0" applyFill="1" applyBorder="1" applyAlignment="1">
      <alignment horizontal="right"/>
    </xf>
    <xf numFmtId="0" fontId="0" fillId="9" borderId="7" xfId="0" applyFill="1" applyBorder="1" applyProtection="1">
      <protection locked="0"/>
    </xf>
    <xf numFmtId="0" fontId="0" fillId="9" borderId="6" xfId="0" applyFill="1" applyBorder="1"/>
    <xf numFmtId="0" fontId="0" fillId="9" borderId="8" xfId="0" applyFill="1" applyBorder="1"/>
    <xf numFmtId="0" fontId="0" fillId="9" borderId="9" xfId="0" applyFill="1" applyBorder="1"/>
    <xf numFmtId="0" fontId="0" fillId="9" borderId="10" xfId="0" applyFill="1" applyBorder="1"/>
    <xf numFmtId="0" fontId="13" fillId="9" borderId="3" xfId="0" applyFont="1" applyFill="1" applyBorder="1"/>
    <xf numFmtId="0" fontId="0" fillId="9" borderId="5" xfId="0" applyFill="1" applyBorder="1"/>
    <xf numFmtId="0" fontId="9" fillId="9" borderId="6" xfId="0" applyFont="1" applyFill="1" applyBorder="1" applyAlignment="1">
      <alignment horizontal="left"/>
    </xf>
    <xf numFmtId="0" fontId="4" fillId="9" borderId="0" xfId="0" applyFont="1" applyFill="1" applyBorder="1"/>
    <xf numFmtId="0" fontId="4" fillId="9" borderId="7" xfId="0" applyFont="1" applyFill="1" applyBorder="1"/>
    <xf numFmtId="0" fontId="2" fillId="9" borderId="0" xfId="0" applyFont="1" applyFill="1" applyBorder="1"/>
    <xf numFmtId="0" fontId="0" fillId="9" borderId="7" xfId="0" applyFill="1" applyBorder="1"/>
    <xf numFmtId="0" fontId="5" fillId="5" borderId="2" xfId="2" applyFill="1" applyBorder="1" applyAlignment="1" applyProtection="1">
      <alignment horizontal="center"/>
      <protection locked="0"/>
    </xf>
    <xf numFmtId="0" fontId="8" fillId="6" borderId="3" xfId="0" applyFont="1" applyFill="1" applyBorder="1"/>
    <xf numFmtId="0" fontId="0" fillId="6" borderId="4" xfId="0" applyFill="1" applyBorder="1"/>
    <xf numFmtId="0" fontId="10" fillId="6" borderId="6" xfId="0" applyFont="1" applyFill="1" applyBorder="1"/>
    <xf numFmtId="0" fontId="0" fillId="6" borderId="6" xfId="0" applyFill="1" applyBorder="1"/>
    <xf numFmtId="0" fontId="0" fillId="6" borderId="8" xfId="0" applyFill="1" applyBorder="1"/>
    <xf numFmtId="0" fontId="0" fillId="6" borderId="9" xfId="0" applyFill="1" applyBorder="1"/>
    <xf numFmtId="0" fontId="0" fillId="6" borderId="5" xfId="0" applyFill="1" applyBorder="1"/>
    <xf numFmtId="0" fontId="0" fillId="6" borderId="7" xfId="0" applyFill="1" applyBorder="1"/>
    <xf numFmtId="0" fontId="0" fillId="6" borderId="10" xfId="0" applyFill="1" applyBorder="1"/>
    <xf numFmtId="0" fontId="5" fillId="5" borderId="1" xfId="2" applyFill="1" applyBorder="1" applyAlignment="1" applyProtection="1">
      <alignment horizontal="center"/>
      <protection locked="0"/>
    </xf>
    <xf numFmtId="14" fontId="5" fillId="5" borderId="1" xfId="2" applyNumberFormat="1" applyFill="1" applyBorder="1" applyAlignment="1" applyProtection="1">
      <alignment horizontal="center"/>
      <protection locked="0"/>
    </xf>
    <xf numFmtId="0" fontId="5" fillId="5" borderId="18" xfId="2" applyFill="1" applyBorder="1" applyAlignment="1" applyProtection="1">
      <alignment horizontal="center"/>
      <protection locked="0"/>
    </xf>
    <xf numFmtId="0" fontId="15" fillId="6" borderId="0" xfId="0" applyFont="1" applyFill="1" applyBorder="1" applyAlignment="1">
      <alignment horizontal="right"/>
    </xf>
    <xf numFmtId="0" fontId="15" fillId="6" borderId="9" xfId="0" applyFont="1" applyFill="1" applyBorder="1" applyAlignment="1">
      <alignment horizontal="right"/>
    </xf>
    <xf numFmtId="0" fontId="1" fillId="2" borderId="1" xfId="1"/>
    <xf numFmtId="0" fontId="4" fillId="7" borderId="4" xfId="0" applyFont="1" applyFill="1" applyBorder="1" applyAlignment="1">
      <alignment horizontal="center"/>
    </xf>
    <xf numFmtId="0" fontId="4" fillId="7" borderId="5" xfId="0" applyFont="1" applyFill="1" applyBorder="1" applyAlignment="1">
      <alignment horizontal="center"/>
    </xf>
    <xf numFmtId="164" fontId="0" fillId="7" borderId="3" xfId="0" applyNumberFormat="1" applyFill="1" applyBorder="1" applyAlignment="1">
      <alignment horizontal="center"/>
    </xf>
    <xf numFmtId="164" fontId="0" fillId="7" borderId="4" xfId="0" applyNumberFormat="1" applyFill="1" applyBorder="1" applyAlignment="1">
      <alignment horizontal="center"/>
    </xf>
    <xf numFmtId="164" fontId="0" fillId="7" borderId="5" xfId="0" applyNumberFormat="1" applyFill="1" applyBorder="1" applyAlignment="1">
      <alignment horizontal="center"/>
    </xf>
    <xf numFmtId="164" fontId="0" fillId="7" borderId="6" xfId="0" applyNumberFormat="1" applyFill="1" applyBorder="1" applyAlignment="1">
      <alignment horizontal="center"/>
    </xf>
    <xf numFmtId="164" fontId="0" fillId="7" borderId="0" xfId="0" applyNumberFormat="1" applyFill="1" applyBorder="1" applyAlignment="1">
      <alignment horizontal="center"/>
    </xf>
    <xf numFmtId="164" fontId="0" fillId="7" borderId="7" xfId="0" applyNumberFormat="1" applyFill="1" applyBorder="1" applyAlignment="1">
      <alignment horizontal="center"/>
    </xf>
    <xf numFmtId="164" fontId="0" fillId="7" borderId="8" xfId="0" applyNumberFormat="1" applyFill="1" applyBorder="1" applyAlignment="1">
      <alignment horizontal="center"/>
    </xf>
    <xf numFmtId="164" fontId="0" fillId="7" borderId="9" xfId="0" applyNumberFormat="1" applyFill="1" applyBorder="1" applyAlignment="1">
      <alignment horizontal="center"/>
    </xf>
    <xf numFmtId="164" fontId="0" fillId="7" borderId="10" xfId="0" applyNumberFormat="1" applyFill="1" applyBorder="1" applyAlignment="1">
      <alignment horizontal="center"/>
    </xf>
    <xf numFmtId="9" fontId="0" fillId="5" borderId="0" xfId="0" applyNumberFormat="1" applyFill="1" applyBorder="1"/>
    <xf numFmtId="0" fontId="0" fillId="7" borderId="7" xfId="0" applyFill="1" applyBorder="1"/>
    <xf numFmtId="0" fontId="0" fillId="7" borderId="10" xfId="0" applyFill="1" applyBorder="1"/>
    <xf numFmtId="9" fontId="0" fillId="7" borderId="9" xfId="0" applyNumberFormat="1" applyFill="1" applyBorder="1"/>
    <xf numFmtId="9" fontId="0" fillId="7" borderId="10" xfId="0" applyNumberFormat="1" applyFill="1" applyBorder="1"/>
    <xf numFmtId="0" fontId="9" fillId="9" borderId="16" xfId="1" applyFont="1" applyFill="1" applyBorder="1" applyAlignment="1" applyProtection="1">
      <alignment horizontal="center"/>
      <protection locked="0"/>
    </xf>
    <xf numFmtId="9" fontId="0" fillId="7" borderId="9" xfId="0" applyNumberFormat="1" applyFill="1" applyBorder="1" applyAlignment="1">
      <alignment horizontal="center"/>
    </xf>
    <xf numFmtId="9" fontId="0" fillId="7" borderId="3" xfId="0" applyNumberFormat="1" applyFill="1" applyBorder="1" applyAlignment="1">
      <alignment horizontal="center"/>
    </xf>
    <xf numFmtId="9" fontId="0" fillId="7" borderId="6" xfId="0" applyNumberFormat="1" applyFill="1" applyBorder="1" applyAlignment="1">
      <alignment horizontal="center"/>
    </xf>
    <xf numFmtId="9" fontId="0" fillId="7" borderId="8" xfId="0" applyNumberFormat="1" applyFill="1" applyBorder="1" applyAlignment="1">
      <alignment horizontal="center"/>
    </xf>
    <xf numFmtId="0" fontId="4" fillId="10" borderId="6" xfId="0" applyFont="1" applyFill="1" applyBorder="1"/>
    <xf numFmtId="0" fontId="4" fillId="10" borderId="0" xfId="0" applyFont="1" applyFill="1" applyBorder="1"/>
    <xf numFmtId="0" fontId="0" fillId="10" borderId="0" xfId="0" applyFill="1" applyBorder="1"/>
    <xf numFmtId="10" fontId="0" fillId="5" borderId="0" xfId="3" applyNumberFormat="1" applyFont="1" applyFill="1"/>
    <xf numFmtId="0" fontId="6" fillId="5" borderId="0" xfId="0" applyFont="1" applyFill="1" applyAlignment="1">
      <alignment horizontal="right"/>
    </xf>
    <xf numFmtId="165" fontId="1" fillId="2" borderId="1" xfId="1" applyNumberFormat="1"/>
    <xf numFmtId="0" fontId="0" fillId="11" borderId="0" xfId="0" applyFill="1"/>
    <xf numFmtId="43" fontId="1" fillId="2" borderId="1" xfId="1" applyNumberFormat="1"/>
    <xf numFmtId="2" fontId="1" fillId="2" borderId="1" xfId="1" applyNumberFormat="1"/>
    <xf numFmtId="166" fontId="1" fillId="2" borderId="1" xfId="1" applyNumberFormat="1"/>
    <xf numFmtId="166" fontId="0" fillId="0" borderId="0" xfId="0" applyNumberFormat="1"/>
    <xf numFmtId="0" fontId="1" fillId="0" borderId="1" xfId="1" applyFill="1"/>
    <xf numFmtId="0" fontId="0" fillId="0" borderId="0" xfId="0" applyAlignment="1">
      <alignment wrapText="1"/>
    </xf>
    <xf numFmtId="0" fontId="0" fillId="0" borderId="0" xfId="0" applyBorder="1"/>
    <xf numFmtId="0" fontId="4" fillId="7" borderId="15" xfId="0" applyFont="1" applyFill="1" applyBorder="1" applyAlignment="1">
      <alignment horizontal="center"/>
    </xf>
  </cellXfs>
  <cellStyles count="5">
    <cellStyle name="Calculation" xfId="1" builtinId="22"/>
    <cellStyle name="Input" xfId="2" builtinId="20"/>
    <cellStyle name="Normal" xfId="0" builtinId="0"/>
    <cellStyle name="Normal 2" xfId="4" xr:uid="{00000000-0005-0000-0000-000003000000}"/>
    <cellStyle name="Percent" xfId="3" builtinId="5"/>
  </cellStyles>
  <dxfs count="10">
    <dxf>
      <font>
        <color rgb="FF002060"/>
      </font>
      <fill>
        <patternFill>
          <bgColor theme="0"/>
        </patternFill>
      </fill>
      <border>
        <left style="thin">
          <color auto="1"/>
        </left>
        <right style="thin">
          <color auto="1"/>
        </right>
        <top style="thin">
          <color auto="1"/>
        </top>
        <bottom style="thin">
          <color auto="1"/>
        </bottom>
        <vertical/>
        <horizontal/>
      </border>
    </dxf>
    <dxf>
      <font>
        <color rgb="FF002060"/>
      </font>
      <fill>
        <patternFill>
          <bgColor theme="0"/>
        </patternFill>
      </fill>
      <border>
        <left style="thin">
          <color auto="1"/>
        </left>
        <right style="thin">
          <color auto="1"/>
        </right>
        <top style="thin">
          <color auto="1"/>
        </top>
        <bottom style="thin">
          <color auto="1"/>
        </bottom>
        <vertical/>
        <horizontal/>
      </border>
    </dxf>
    <dxf>
      <font>
        <color rgb="FF002060"/>
      </font>
      <fill>
        <patternFill>
          <bgColor theme="0"/>
        </patternFill>
      </fill>
      <border>
        <left style="thin">
          <color auto="1"/>
        </left>
        <right style="thin">
          <color auto="1"/>
        </right>
        <top style="thin">
          <color auto="1"/>
        </top>
        <bottom style="thin">
          <color auto="1"/>
        </bottom>
        <vertical/>
        <horizontal/>
      </border>
    </dxf>
    <dxf>
      <font>
        <color rgb="FF002060"/>
      </font>
      <fill>
        <patternFill>
          <bgColor theme="0"/>
        </patternFill>
      </fill>
      <border>
        <left style="thin">
          <color auto="1"/>
        </left>
        <right style="thin">
          <color auto="1"/>
        </right>
        <top style="thin">
          <color auto="1"/>
        </top>
        <bottom style="thin">
          <color auto="1"/>
        </bottom>
        <vertical/>
        <horizontal/>
      </border>
    </dxf>
    <dxf>
      <font>
        <color rgb="FF002060"/>
      </font>
      <fill>
        <patternFill>
          <bgColor theme="0"/>
        </patternFill>
      </fill>
      <border>
        <left style="thin">
          <color auto="1"/>
        </left>
        <right style="thin">
          <color auto="1"/>
        </right>
        <top style="thin">
          <color auto="1"/>
        </top>
        <bottom style="thin">
          <color auto="1"/>
        </bottom>
        <vertical/>
        <horizontal/>
      </border>
    </dxf>
    <dxf>
      <font>
        <color rgb="FF002060"/>
      </font>
      <fill>
        <patternFill>
          <bgColor theme="0"/>
        </patternFill>
      </fill>
      <border>
        <left style="thin">
          <color auto="1"/>
        </left>
        <right style="thin">
          <color auto="1"/>
        </right>
        <top style="thin">
          <color auto="1"/>
        </top>
        <bottom style="thin">
          <color auto="1"/>
        </bottom>
        <vertical/>
        <horizontal/>
      </border>
    </dxf>
    <dxf>
      <font>
        <color rgb="FF002060"/>
      </font>
      <fill>
        <patternFill>
          <bgColor theme="0"/>
        </patternFill>
      </fill>
      <border>
        <left style="thin">
          <color auto="1"/>
        </left>
        <right style="thin">
          <color auto="1"/>
        </right>
        <top style="thin">
          <color auto="1"/>
        </top>
        <bottom style="thin">
          <color auto="1"/>
        </bottom>
        <vertical/>
        <horizontal/>
      </border>
    </dxf>
    <dxf>
      <font>
        <color rgb="FF002060"/>
      </font>
      <fill>
        <patternFill>
          <bgColor theme="0"/>
        </patternFill>
      </fill>
      <border>
        <left style="thin">
          <color auto="1"/>
        </left>
        <right style="thin">
          <color auto="1"/>
        </right>
        <top style="thin">
          <color auto="1"/>
        </top>
        <bottom style="thin">
          <color auto="1"/>
        </bottom>
        <vertical/>
        <horizontal/>
      </border>
    </dxf>
    <dxf>
      <font>
        <color rgb="FF002060"/>
      </font>
      <fill>
        <patternFill>
          <bgColor theme="0"/>
        </patternFill>
      </fill>
      <border>
        <left style="thin">
          <color auto="1"/>
        </left>
        <right style="thin">
          <color auto="1"/>
        </right>
        <top style="thin">
          <color auto="1"/>
        </top>
        <bottom style="thin">
          <color auto="1"/>
        </bottom>
        <vertical/>
        <horizontal/>
      </border>
    </dxf>
    <dxf>
      <font>
        <color rgb="FF002060"/>
      </font>
      <fill>
        <patternFill>
          <bgColor theme="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41408</xdr:colOff>
      <xdr:row>4</xdr:row>
      <xdr:rowOff>0</xdr:rowOff>
    </xdr:from>
    <xdr:to>
      <xdr:col>19</xdr:col>
      <xdr:colOff>521523</xdr:colOff>
      <xdr:row>7</xdr:row>
      <xdr:rowOff>38101</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8837538" y="811696"/>
          <a:ext cx="4853333" cy="6261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These options may have a minor impact on comparisons with certain rates/scenarios.</a:t>
          </a:r>
          <a:r>
            <a:rPr lang="en-US" sz="1100" baseline="0"/>
            <a:t> If you are unsure of any, you may leave the field blank to use a default value. To view a description of each line-item, please hover over its name. </a:t>
          </a:r>
          <a:endParaRPr lang="en-US" sz="1100"/>
        </a:p>
      </xdr:txBody>
    </xdr:sp>
    <xdr:clientData/>
  </xdr:twoCellAnchor>
  <xdr:twoCellAnchor>
    <xdr:from>
      <xdr:col>5</xdr:col>
      <xdr:colOff>124245</xdr:colOff>
      <xdr:row>3</xdr:row>
      <xdr:rowOff>74540</xdr:rowOff>
    </xdr:from>
    <xdr:to>
      <xdr:col>11</xdr:col>
      <xdr:colOff>1076745</xdr:colOff>
      <xdr:row>7</xdr:row>
      <xdr:rowOff>140801</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2824375" y="646040"/>
          <a:ext cx="5507935" cy="8945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Your PG&amp;E</a:t>
          </a:r>
          <a:r>
            <a:rPr lang="en-US" sz="1100" b="0"/>
            <a:t> </a:t>
          </a:r>
          <a:r>
            <a:rPr lang="en-US" sz="1100" b="1"/>
            <a:t>rate schedule</a:t>
          </a:r>
          <a:r>
            <a:rPr lang="en-US" sz="1100"/>
            <a:t> and </a:t>
          </a:r>
          <a:r>
            <a:rPr lang="en-US" sz="1100" b="1"/>
            <a:t>monthly</a:t>
          </a:r>
          <a:r>
            <a:rPr lang="en-US" sz="1100"/>
            <a:t> </a:t>
          </a:r>
          <a:r>
            <a:rPr lang="en-US" sz="1100" b="1"/>
            <a:t>usage</a:t>
          </a:r>
          <a:r>
            <a:rPr lang="en-US" sz="1100"/>
            <a:t> are required to provide a comparison of service charges. These can be found on the "Details" page (typically page 3) of your PG&amp;E bill.</a:t>
          </a:r>
        </a:p>
        <a:p>
          <a:pPr>
            <a:spcBef>
              <a:spcPts val="600"/>
            </a:spcBef>
          </a:pPr>
          <a:r>
            <a:rPr lang="en-US" sz="1100"/>
            <a:t>If you have</a:t>
          </a:r>
          <a:r>
            <a:rPr lang="en-US" sz="1100" baseline="0"/>
            <a:t> questions or need any other </a:t>
          </a:r>
          <a:r>
            <a:rPr lang="en-US" sz="1100"/>
            <a:t>assistance, please contact PCE Customer Service at  1</a:t>
          </a:r>
          <a:r>
            <a:rPr lang="en-US" sz="1100" baseline="0"/>
            <a:t> (866) 966-0110 </a:t>
          </a:r>
          <a:r>
            <a:rPr lang="en-US" sz="1100"/>
            <a:t>or</a:t>
          </a:r>
          <a:r>
            <a:rPr lang="en-US" sz="1100" baseline="0"/>
            <a:t> support@peninsulacleanenergy.com</a:t>
          </a:r>
          <a:r>
            <a:rPr lang="en-US" sz="11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CE-Commercial-Calculator-fixed_LOCK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 Comparison"/>
      <sheetName val="CARE"/>
      <sheetName val="Calculation"/>
      <sheetName val="Rates"/>
      <sheetName val="PCIA  FF"/>
    </sheetNames>
    <sheetDataSet>
      <sheetData sheetId="0" refreshError="1"/>
      <sheetData sheetId="1" refreshError="1"/>
      <sheetData sheetId="2"/>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6"/>
  <sheetViews>
    <sheetView tabSelected="1" zoomScale="121" zoomScaleNormal="100" workbookViewId="0">
      <selection activeCell="R39" sqref="R39"/>
    </sheetView>
  </sheetViews>
  <sheetFormatPr baseColWidth="10" defaultColWidth="8.83203125" defaultRowHeight="15" x14ac:dyDescent="0.2"/>
  <cols>
    <col min="1" max="1" width="8" customWidth="1"/>
    <col min="2" max="2" width="20.83203125" customWidth="1"/>
    <col min="3" max="3" width="0.83203125" customWidth="1"/>
    <col min="4" max="4" width="17.1640625" customWidth="1"/>
    <col min="5" max="5" width="0.83203125" customWidth="1"/>
    <col min="6" max="6" width="23" customWidth="1"/>
    <col min="7" max="7" width="0.6640625" customWidth="1"/>
    <col min="8" max="8" width="15.5" customWidth="1"/>
    <col min="9" max="9" width="0.6640625" customWidth="1"/>
    <col min="10" max="10" width="27.1640625" customWidth="1"/>
    <col min="11" max="11" width="0.6640625" customWidth="1"/>
    <col min="12" max="12" width="23.83203125" customWidth="1"/>
    <col min="13" max="13" width="0.6640625" customWidth="1"/>
    <col min="14" max="14" width="24.5" customWidth="1"/>
    <col min="15" max="15" width="0.6640625" customWidth="1"/>
    <col min="16" max="16" width="18.1640625" customWidth="1"/>
    <col min="17" max="17" width="0.6640625" customWidth="1"/>
    <col min="18" max="18" width="12.1640625" customWidth="1"/>
    <col min="19" max="19" width="9.1640625" customWidth="1"/>
    <col min="20" max="20" width="8.5" customWidth="1"/>
  </cols>
  <sheetData>
    <row r="1" spans="1:23" ht="3.75" customHeight="1" x14ac:dyDescent="0.2">
      <c r="A1" s="38"/>
      <c r="B1" s="38"/>
      <c r="C1" s="38"/>
      <c r="D1" s="38"/>
      <c r="E1" s="38"/>
      <c r="F1" s="38"/>
      <c r="G1" s="38"/>
      <c r="H1" s="38"/>
      <c r="I1" s="38"/>
      <c r="J1" s="38"/>
      <c r="K1" s="38"/>
      <c r="L1" s="38"/>
      <c r="M1" s="38"/>
      <c r="N1" s="38"/>
      <c r="O1" s="38"/>
      <c r="P1" s="38"/>
      <c r="Q1" s="38"/>
      <c r="R1" s="38"/>
      <c r="S1" s="38"/>
      <c r="T1" s="38"/>
    </row>
    <row r="2" spans="1:23" ht="26" x14ac:dyDescent="0.3">
      <c r="A2" s="38"/>
      <c r="B2" s="53" t="s">
        <v>173</v>
      </c>
      <c r="C2" s="39"/>
      <c r="D2" s="38"/>
      <c r="E2" s="38"/>
      <c r="F2" s="38"/>
      <c r="G2" s="38"/>
      <c r="H2" s="38"/>
      <c r="I2" s="38"/>
      <c r="J2" s="38"/>
      <c r="K2" s="38"/>
      <c r="L2" s="38"/>
      <c r="M2" s="38"/>
      <c r="N2" s="38"/>
      <c r="O2" s="38"/>
      <c r="P2" s="38"/>
      <c r="Q2" s="38"/>
      <c r="R2" s="38"/>
      <c r="S2" s="38"/>
      <c r="T2" s="122" t="s">
        <v>180</v>
      </c>
    </row>
    <row r="3" spans="1:23" ht="15" customHeight="1" thickBot="1" x14ac:dyDescent="0.35">
      <c r="A3" s="38"/>
      <c r="B3" s="52"/>
      <c r="C3" s="39"/>
      <c r="D3" s="38"/>
      <c r="E3" s="38"/>
      <c r="F3" s="38"/>
      <c r="G3" s="38"/>
      <c r="H3" s="38"/>
      <c r="I3" s="38"/>
      <c r="J3" s="38"/>
      <c r="K3" s="38"/>
      <c r="L3" s="38"/>
      <c r="M3" s="38"/>
      <c r="N3" s="38"/>
      <c r="O3" s="38"/>
      <c r="P3" s="38"/>
      <c r="Q3" s="38"/>
      <c r="R3" s="38"/>
      <c r="S3" s="38"/>
      <c r="T3" s="38"/>
    </row>
    <row r="4" spans="1:23" ht="19" x14ac:dyDescent="0.25">
      <c r="A4" s="38"/>
      <c r="B4" s="74" t="s">
        <v>143</v>
      </c>
      <c r="C4" s="59"/>
      <c r="D4" s="59"/>
      <c r="E4" s="59"/>
      <c r="F4" s="59"/>
      <c r="G4" s="59"/>
      <c r="H4" s="59"/>
      <c r="I4" s="59"/>
      <c r="J4" s="59"/>
      <c r="K4" s="59"/>
      <c r="L4" s="75"/>
      <c r="M4" s="38"/>
      <c r="N4" s="82" t="s">
        <v>142</v>
      </c>
      <c r="O4" s="83"/>
      <c r="P4" s="83"/>
      <c r="Q4" s="83"/>
      <c r="R4" s="83"/>
      <c r="S4" s="83"/>
      <c r="T4" s="88"/>
    </row>
    <row r="5" spans="1:23" ht="16" thickBot="1" x14ac:dyDescent="0.25">
      <c r="A5" s="38"/>
      <c r="B5" s="76" t="s">
        <v>144</v>
      </c>
      <c r="C5" s="77"/>
      <c r="D5" s="65"/>
      <c r="E5" s="65"/>
      <c r="F5" s="77"/>
      <c r="G5" s="77"/>
      <c r="H5" s="77"/>
      <c r="I5" s="77"/>
      <c r="J5" s="77"/>
      <c r="K5" s="77"/>
      <c r="L5" s="78"/>
      <c r="M5" s="38"/>
      <c r="N5" s="84"/>
      <c r="O5" s="11"/>
      <c r="P5" s="10"/>
      <c r="Q5" s="11"/>
      <c r="R5" s="11"/>
      <c r="S5" s="11"/>
      <c r="T5" s="89"/>
    </row>
    <row r="6" spans="1:23" ht="16" thickBot="1" x14ac:dyDescent="0.25">
      <c r="B6" s="81" t="s">
        <v>155</v>
      </c>
      <c r="C6" s="65"/>
      <c r="D6" s="65"/>
      <c r="E6" s="65"/>
      <c r="F6" s="77"/>
      <c r="G6" s="77"/>
      <c r="H6" s="77"/>
      <c r="I6" s="77"/>
      <c r="J6" s="77"/>
      <c r="K6" s="77"/>
      <c r="L6" s="78"/>
      <c r="M6" s="38"/>
      <c r="N6" s="84"/>
      <c r="O6" s="11"/>
      <c r="P6" s="11"/>
      <c r="Q6" s="11"/>
      <c r="R6" s="11"/>
      <c r="S6" s="11"/>
      <c r="T6" s="89"/>
    </row>
    <row r="7" spans="1:23" x14ac:dyDescent="0.2">
      <c r="A7" s="38"/>
      <c r="B7" s="70"/>
      <c r="C7" s="65"/>
      <c r="D7" s="65"/>
      <c r="E7" s="65"/>
      <c r="F7" s="77"/>
      <c r="G7" s="77"/>
      <c r="H7" s="77"/>
      <c r="I7" s="77"/>
      <c r="J7" s="77"/>
      <c r="K7" s="77"/>
      <c r="L7" s="78"/>
      <c r="M7" s="38"/>
      <c r="N7" s="84"/>
      <c r="O7" s="11"/>
      <c r="P7" s="11"/>
      <c r="Q7" s="11"/>
      <c r="R7" s="11"/>
      <c r="S7" s="11"/>
      <c r="T7" s="89"/>
    </row>
    <row r="8" spans="1:23" ht="16" thickBot="1" x14ac:dyDescent="0.25">
      <c r="A8" s="38"/>
      <c r="B8" s="76" t="s">
        <v>145</v>
      </c>
      <c r="C8" s="79"/>
      <c r="D8" s="65"/>
      <c r="E8" s="65"/>
      <c r="F8" s="79"/>
      <c r="G8" s="79"/>
      <c r="H8" s="65"/>
      <c r="I8" s="65"/>
      <c r="J8" s="79"/>
      <c r="K8" s="79"/>
      <c r="L8" s="80"/>
      <c r="M8" s="38"/>
      <c r="N8" s="85"/>
      <c r="O8" s="11"/>
      <c r="P8" s="11"/>
      <c r="Q8" s="11"/>
      <c r="R8" s="11"/>
      <c r="S8" s="11"/>
      <c r="T8" s="89"/>
    </row>
    <row r="9" spans="1:23" x14ac:dyDescent="0.2">
      <c r="A9" s="38"/>
      <c r="B9" s="58" t="str">
        <f>IF(VLOOKUP($B$6,Rates!A:AA,2,0)=FALSE,"","All Usage:")</f>
        <v/>
      </c>
      <c r="C9" s="59"/>
      <c r="D9" s="59"/>
      <c r="E9" s="59"/>
      <c r="F9" s="60" t="str">
        <f>IF(VLOOKUP($B$6,Rates!A:AA,5,0)=FALSE," ","Summer Peak Usage:")</f>
        <v xml:space="preserve"> </v>
      </c>
      <c r="G9" s="59"/>
      <c r="H9" s="61"/>
      <c r="I9" s="62"/>
      <c r="J9" s="59" t="str">
        <f>IF(VLOOKUP($B$6,Rates!A:AA,11,0)=FALSE," ","Summer Peak Demand:")</f>
        <v xml:space="preserve"> </v>
      </c>
      <c r="K9" s="59"/>
      <c r="L9" s="63"/>
      <c r="M9" s="7"/>
      <c r="N9" s="85"/>
      <c r="O9" s="11"/>
      <c r="P9" s="94" t="s">
        <v>139</v>
      </c>
      <c r="Q9" s="11"/>
      <c r="R9" s="91">
        <v>31</v>
      </c>
      <c r="S9" s="11"/>
      <c r="T9" s="89"/>
    </row>
    <row r="10" spans="1:23" x14ac:dyDescent="0.2">
      <c r="A10" s="38"/>
      <c r="B10" s="64" t="str">
        <f>IF(VLOOKUP($B$6,Rates!A:AA,3,0)=FALSE," ","All Summer Usage:")</f>
        <v>All Summer Usage:</v>
      </c>
      <c r="C10" s="65"/>
      <c r="D10" s="66"/>
      <c r="E10" s="67"/>
      <c r="F10" s="68" t="str">
        <f>IF(VLOOKUP($B$6,Rates!A:AA,6,0)=FALSE," ","Summer Part Peak Usage:")</f>
        <v xml:space="preserve"> </v>
      </c>
      <c r="G10" s="65"/>
      <c r="H10" s="66"/>
      <c r="I10" s="67"/>
      <c r="J10" s="65" t="str">
        <f>IF(VLOOKUP($B$6,Rates!A:AA,12,0)=FALSE," ","Summer Partial Peak Demand:")</f>
        <v xml:space="preserve"> </v>
      </c>
      <c r="K10" s="65"/>
      <c r="L10" s="69"/>
      <c r="M10" s="7"/>
      <c r="N10" s="85"/>
      <c r="O10" s="11"/>
      <c r="P10" s="94" t="s">
        <v>150</v>
      </c>
      <c r="Q10" s="11"/>
      <c r="R10" s="92">
        <v>43009</v>
      </c>
      <c r="S10" s="11"/>
      <c r="T10" s="89"/>
    </row>
    <row r="11" spans="1:23" x14ac:dyDescent="0.2">
      <c r="A11" s="38"/>
      <c r="B11" s="64" t="str">
        <f>IF(VLOOKUP($B$6,Rates!A:AA,4,0)=FALSE," ","All Winter Usage:")</f>
        <v>All Winter Usage:</v>
      </c>
      <c r="C11" s="65"/>
      <c r="D11" s="66"/>
      <c r="E11" s="67"/>
      <c r="F11" s="68" t="str">
        <f>IF(VLOOKUP($B$6,Rates!A:AA,7,0)=FALSE," ","Summer Off Peak Usage:")</f>
        <v xml:space="preserve"> </v>
      </c>
      <c r="G11" s="65"/>
      <c r="H11" s="66"/>
      <c r="I11" s="67"/>
      <c r="J11" s="65" t="str">
        <f>IF(VLOOKUP($B$6,Rates!A:AA,13,0)=FALSE," ","Summer Max Demand:")</f>
        <v xml:space="preserve"> </v>
      </c>
      <c r="K11" s="65"/>
      <c r="L11" s="69"/>
      <c r="M11" s="7"/>
      <c r="N11" s="85"/>
      <c r="O11" s="11"/>
      <c r="P11" s="94" t="s">
        <v>33</v>
      </c>
      <c r="Q11" s="11"/>
      <c r="R11" s="91" t="s">
        <v>34</v>
      </c>
      <c r="S11" s="11"/>
      <c r="T11" s="89"/>
      <c r="W11" s="1"/>
    </row>
    <row r="12" spans="1:23" x14ac:dyDescent="0.2">
      <c r="A12" s="38"/>
      <c r="B12" s="70"/>
      <c r="C12" s="65"/>
      <c r="D12" s="65"/>
      <c r="E12" s="65"/>
      <c r="F12" s="68" t="str">
        <f>IF(VLOOKUP($B$6,Rates!A:AA,8,0)=FALSE," ","Winter Peak Usage:")</f>
        <v xml:space="preserve"> </v>
      </c>
      <c r="G12" s="65"/>
      <c r="H12" s="66"/>
      <c r="I12" s="67"/>
      <c r="J12" s="65" t="str">
        <f>IF(VLOOKUP($B$6,Rates!A:AA,14,0)=FALSE," ","Winter Peak Demand:")</f>
        <v xml:space="preserve"> </v>
      </c>
      <c r="K12" s="65"/>
      <c r="L12" s="69"/>
      <c r="M12" s="7"/>
      <c r="N12" s="85"/>
      <c r="O12" s="11"/>
      <c r="P12" s="94" t="s">
        <v>73</v>
      </c>
      <c r="Q12" s="11"/>
      <c r="R12" s="91" t="s">
        <v>46</v>
      </c>
      <c r="S12" s="11"/>
      <c r="T12" s="89"/>
    </row>
    <row r="13" spans="1:23" x14ac:dyDescent="0.2">
      <c r="A13" s="38"/>
      <c r="B13" s="70" t="str">
        <f>IF(VLOOKUP($B$6,Rates!A:AA,17,0)=FALSE," ","Summer Connected Load:")</f>
        <v xml:space="preserve"> </v>
      </c>
      <c r="C13" s="65"/>
      <c r="D13" s="65"/>
      <c r="E13" s="65"/>
      <c r="F13" s="68" t="str">
        <f>IF(VLOOKUP($B$6,Rates!A:AA,9,0)=FALSE," ","Winter Part Peak Usage:")</f>
        <v xml:space="preserve"> </v>
      </c>
      <c r="G13" s="65"/>
      <c r="H13" s="66"/>
      <c r="I13" s="67"/>
      <c r="J13" s="65" t="str">
        <f>IF(VLOOKUP($B$6,Rates!A:AA,15,0)=FALSE," ","Winter Partial Peak Demand:")</f>
        <v xml:space="preserve"> </v>
      </c>
      <c r="K13" s="65"/>
      <c r="L13" s="69"/>
      <c r="M13" s="7"/>
      <c r="N13" s="85"/>
      <c r="O13" s="11"/>
      <c r="P13" s="94" t="s">
        <v>85</v>
      </c>
      <c r="Q13" s="11"/>
      <c r="R13" s="91" t="s">
        <v>34</v>
      </c>
      <c r="S13" s="11"/>
      <c r="T13" s="89"/>
    </row>
    <row r="14" spans="1:23" x14ac:dyDescent="0.2">
      <c r="A14" s="38"/>
      <c r="B14" s="70" t="str">
        <f>IF(VLOOKUP($B$6,Rates!A:AA,18,0)=FALSE," ","Winter Connected Load:")</f>
        <v xml:space="preserve"> </v>
      </c>
      <c r="C14" s="65"/>
      <c r="D14" s="65"/>
      <c r="E14" s="65"/>
      <c r="F14" s="68" t="str">
        <f>IF(VLOOKUP($B$6,Rates!A:AA,10,0)=FALSE," ","Winter Off Peak Usage:")</f>
        <v xml:space="preserve"> </v>
      </c>
      <c r="G14" s="65"/>
      <c r="H14" s="66"/>
      <c r="I14" s="67"/>
      <c r="J14" s="65" t="str">
        <f>IF(VLOOKUP($B$6,Rates!A:AA,16,0)=FALSE," ","Winter Max Demand:")</f>
        <v xml:space="preserve"> </v>
      </c>
      <c r="K14" s="65"/>
      <c r="L14" s="69"/>
      <c r="M14" s="7"/>
      <c r="N14" s="85"/>
      <c r="O14" s="11"/>
      <c r="P14" s="94"/>
      <c r="Q14" s="11"/>
      <c r="R14" s="11"/>
      <c r="S14" s="11"/>
      <c r="T14" s="89"/>
    </row>
    <row r="15" spans="1:23" ht="16" thickBot="1" x14ac:dyDescent="0.25">
      <c r="A15" s="38"/>
      <c r="B15" s="71"/>
      <c r="C15" s="72"/>
      <c r="D15" s="72"/>
      <c r="E15" s="72"/>
      <c r="F15" s="72"/>
      <c r="G15" s="72"/>
      <c r="H15" s="72"/>
      <c r="I15" s="72"/>
      <c r="J15" s="72"/>
      <c r="K15" s="72"/>
      <c r="L15" s="73"/>
      <c r="M15" s="7"/>
      <c r="N15" s="86"/>
      <c r="O15" s="87"/>
      <c r="P15" s="95" t="s">
        <v>140</v>
      </c>
      <c r="Q15" s="87"/>
      <c r="R15" s="93" t="s">
        <v>88</v>
      </c>
      <c r="S15" s="87"/>
      <c r="T15" s="90"/>
    </row>
    <row r="16" spans="1:23" x14ac:dyDescent="0.2">
      <c r="A16" s="38"/>
      <c r="B16" s="38"/>
      <c r="C16" s="38"/>
      <c r="D16" s="38"/>
      <c r="E16" s="38"/>
      <c r="F16" s="38"/>
      <c r="G16" s="38"/>
      <c r="H16" s="38"/>
      <c r="I16" s="7"/>
      <c r="J16" s="38"/>
      <c r="K16" s="38"/>
      <c r="L16" s="38"/>
      <c r="M16" s="7"/>
      <c r="N16" s="38"/>
      <c r="O16" s="38"/>
      <c r="P16" s="40"/>
      <c r="Q16" s="38"/>
      <c r="R16" s="38"/>
      <c r="S16" s="38"/>
      <c r="T16" s="38"/>
    </row>
    <row r="17" spans="1:20" ht="22" thickBot="1" x14ac:dyDescent="0.3">
      <c r="A17" s="38"/>
      <c r="B17" s="51" t="s">
        <v>74</v>
      </c>
      <c r="C17" s="39"/>
      <c r="D17" s="38"/>
      <c r="E17" s="38"/>
      <c r="G17" s="38"/>
      <c r="H17" s="38"/>
      <c r="I17" s="38"/>
      <c r="J17" s="51" t="s">
        <v>148</v>
      </c>
      <c r="K17" s="39"/>
      <c r="L17" s="38"/>
      <c r="M17" s="38"/>
      <c r="N17" s="38"/>
      <c r="O17" s="38"/>
      <c r="P17" s="38"/>
      <c r="Q17" s="38"/>
      <c r="R17" s="38"/>
      <c r="S17" s="38"/>
      <c r="T17" s="38"/>
    </row>
    <row r="18" spans="1:20" ht="16" thickBot="1" x14ac:dyDescent="0.25">
      <c r="A18" s="38"/>
      <c r="B18" s="18" t="s">
        <v>72</v>
      </c>
      <c r="C18" s="16"/>
      <c r="D18" s="19"/>
      <c r="E18" s="20"/>
      <c r="F18" s="98" t="s">
        <v>48</v>
      </c>
      <c r="G18" s="37"/>
      <c r="H18" s="38"/>
      <c r="I18" s="38"/>
      <c r="J18" s="45"/>
      <c r="K18" s="19"/>
      <c r="L18" s="113" t="s">
        <v>138</v>
      </c>
      <c r="M18" s="46"/>
      <c r="N18" s="113" t="s">
        <v>49</v>
      </c>
      <c r="O18" s="47"/>
      <c r="P18" s="17" t="s">
        <v>83</v>
      </c>
      <c r="Q18" s="38"/>
      <c r="R18" s="38"/>
      <c r="S18" s="39"/>
      <c r="T18" s="39"/>
    </row>
    <row r="19" spans="1:20" x14ac:dyDescent="0.2">
      <c r="A19" s="38"/>
      <c r="B19" s="55" t="s">
        <v>174</v>
      </c>
      <c r="C19" s="56"/>
      <c r="D19" s="57"/>
      <c r="E19" s="57"/>
      <c r="F19" s="21">
        <f>SUM(F30:L30)</f>
        <v>0</v>
      </c>
      <c r="G19" s="41"/>
      <c r="H19" s="38"/>
      <c r="I19" s="38"/>
      <c r="J19" s="18" t="s">
        <v>82</v>
      </c>
      <c r="K19" s="16"/>
      <c r="L19" s="100">
        <f>VLOOKUP(L18,$B$18:$F$23,5,FALSE)</f>
        <v>0</v>
      </c>
      <c r="M19" s="24"/>
      <c r="N19" s="100">
        <f>VLOOKUP(N18,$B$18:$F$23,5,FALSE)</f>
        <v>0</v>
      </c>
      <c r="O19" s="24"/>
      <c r="P19" s="25">
        <f>ABS(L19-N19)</f>
        <v>0</v>
      </c>
      <c r="Q19" s="38"/>
      <c r="R19" s="38"/>
      <c r="S19" s="38"/>
      <c r="T19" s="38"/>
    </row>
    <row r="20" spans="1:20" ht="16" thickBot="1" x14ac:dyDescent="0.25">
      <c r="A20" s="38"/>
      <c r="B20" s="118" t="s">
        <v>175</v>
      </c>
      <c r="C20" s="119"/>
      <c r="D20" s="120"/>
      <c r="E20" s="120"/>
      <c r="F20" s="22">
        <f>SUM(F31:L31)</f>
        <v>0</v>
      </c>
      <c r="G20" s="41"/>
      <c r="H20" s="38"/>
      <c r="I20" s="38"/>
      <c r="J20" s="43" t="s">
        <v>84</v>
      </c>
      <c r="K20" s="44"/>
      <c r="L20" s="114">
        <f>VLOOKUP(L18,$B$38:$J$43,5,FALSE)</f>
        <v>1</v>
      </c>
      <c r="M20" s="111"/>
      <c r="N20" s="114">
        <f>VLOOKUP(N18,$B$38:$J$43,5,FALSE)</f>
        <v>0.33</v>
      </c>
      <c r="O20" s="111"/>
      <c r="P20" s="112">
        <f>ABS(L20-N20)</f>
        <v>0.66999999999999993</v>
      </c>
      <c r="Q20" s="38"/>
      <c r="R20" s="38"/>
      <c r="S20" s="38"/>
      <c r="T20" s="38"/>
    </row>
    <row r="21" spans="1:20" x14ac:dyDescent="0.2">
      <c r="A21" s="38"/>
      <c r="B21" s="4" t="s">
        <v>49</v>
      </c>
      <c r="C21" s="6"/>
      <c r="D21" s="6"/>
      <c r="E21" s="6"/>
      <c r="F21" s="22">
        <f>SUM(F32:L32)</f>
        <v>0</v>
      </c>
      <c r="G21" s="41"/>
      <c r="H21" s="38"/>
      <c r="I21" s="38"/>
      <c r="J21" s="38"/>
      <c r="K21" s="38"/>
      <c r="L21" s="38"/>
      <c r="M21" s="38"/>
      <c r="N21" s="38"/>
      <c r="O21" s="38"/>
      <c r="P21" s="38"/>
      <c r="Q21" s="38"/>
      <c r="R21" s="38"/>
      <c r="S21" s="38"/>
      <c r="T21" s="38"/>
    </row>
    <row r="22" spans="1:20" x14ac:dyDescent="0.2">
      <c r="A22" s="38"/>
      <c r="B22" s="4" t="s">
        <v>137</v>
      </c>
      <c r="C22" s="6"/>
      <c r="D22" s="6"/>
      <c r="E22" s="6"/>
      <c r="F22" s="22">
        <f>SUM(F33:L33)</f>
        <v>0</v>
      </c>
      <c r="G22" s="41"/>
      <c r="H22" s="38"/>
      <c r="I22" s="38"/>
      <c r="J22" s="38"/>
      <c r="K22" s="38"/>
      <c r="L22" s="38"/>
      <c r="M22" s="38"/>
      <c r="N22" s="38"/>
      <c r="O22" s="38"/>
      <c r="P22" s="38"/>
      <c r="Q22" s="38"/>
      <c r="R22" s="38"/>
      <c r="S22" s="38"/>
      <c r="T22" s="38"/>
    </row>
    <row r="23" spans="1:20" ht="16" thickBot="1" x14ac:dyDescent="0.25">
      <c r="A23" s="38"/>
      <c r="B23" s="8" t="s">
        <v>138</v>
      </c>
      <c r="C23" s="9"/>
      <c r="D23" s="9"/>
      <c r="E23" s="9"/>
      <c r="F23" s="23">
        <f>SUM(F34:L34)</f>
        <v>0</v>
      </c>
      <c r="G23" s="41"/>
      <c r="H23" s="38"/>
      <c r="I23" s="38"/>
      <c r="J23" s="39" t="s">
        <v>87</v>
      </c>
      <c r="K23" s="38"/>
      <c r="L23" s="38">
        <f>Calculation!B1</f>
        <v>2017</v>
      </c>
      <c r="M23" s="38"/>
      <c r="N23" s="38"/>
      <c r="O23" s="38"/>
      <c r="P23" s="38"/>
      <c r="Q23" s="38"/>
      <c r="R23" s="38"/>
      <c r="S23" s="38"/>
      <c r="T23" s="38"/>
    </row>
    <row r="24" spans="1:20" x14ac:dyDescent="0.2">
      <c r="A24" s="38"/>
      <c r="B24" s="38"/>
      <c r="C24" s="38"/>
      <c r="D24" s="38"/>
      <c r="E24" s="38"/>
      <c r="F24" s="38"/>
      <c r="G24" s="41"/>
      <c r="H24" s="38"/>
      <c r="I24" s="38"/>
      <c r="J24" s="39" t="str">
        <f>IF(Calculation!B31&lt;&gt;0,"CARE Program Adjustment:","")</f>
        <v/>
      </c>
      <c r="K24" s="38"/>
      <c r="L24" s="42" t="str">
        <f>IF(R13="Yes",SUM(CARE!D3:D7),"")</f>
        <v/>
      </c>
      <c r="M24" s="38"/>
      <c r="N24" s="38"/>
      <c r="O24" s="38"/>
      <c r="P24" s="38"/>
      <c r="Q24" s="38"/>
      <c r="R24" s="38"/>
      <c r="S24" s="38"/>
      <c r="T24" s="38"/>
    </row>
    <row r="25" spans="1:20" s="48" customFormat="1" x14ac:dyDescent="0.2">
      <c r="A25" s="38"/>
      <c r="B25" s="38"/>
      <c r="C25" s="38"/>
      <c r="D25" s="38"/>
      <c r="E25" s="38"/>
      <c r="F25" s="38"/>
      <c r="G25" s="38"/>
      <c r="H25" s="38"/>
      <c r="I25" s="38"/>
      <c r="J25" s="39" t="str">
        <f>IF(B6='PCIA  FF'!A57,"Comparisons of streetlight rates (LS-1, LS-2, LS-3) are for electricity only, and do not include lamp fees imposed by PG&amp;E.","")</f>
        <v/>
      </c>
      <c r="K25" s="38"/>
      <c r="L25" s="38"/>
      <c r="M25" s="38"/>
      <c r="N25" s="38"/>
      <c r="O25" s="38"/>
      <c r="P25" s="38"/>
      <c r="Q25" s="38"/>
      <c r="R25" s="38"/>
      <c r="S25" s="38"/>
      <c r="T25" s="38"/>
    </row>
    <row r="26" spans="1:20" s="48" customFormat="1" ht="26" x14ac:dyDescent="0.3">
      <c r="A26" s="38"/>
      <c r="B26" s="54" t="s">
        <v>147</v>
      </c>
      <c r="C26" s="38"/>
      <c r="D26" s="38"/>
      <c r="E26" s="38"/>
      <c r="F26" s="38"/>
      <c r="G26" s="38"/>
      <c r="H26" s="38"/>
      <c r="I26" s="38"/>
      <c r="J26" s="39"/>
      <c r="K26" s="38"/>
      <c r="L26" s="121"/>
      <c r="M26" s="38"/>
      <c r="N26" s="121"/>
      <c r="O26" s="38"/>
      <c r="P26" s="38"/>
      <c r="Q26" s="38"/>
      <c r="R26" s="38"/>
      <c r="S26" s="38"/>
      <c r="T26" s="38"/>
    </row>
    <row r="27" spans="1:20" s="48" customFormat="1" x14ac:dyDescent="0.2">
      <c r="A27" s="38"/>
      <c r="B27" s="38"/>
      <c r="C27" s="38"/>
      <c r="D27" s="38"/>
      <c r="E27" s="38"/>
      <c r="F27" s="38"/>
      <c r="G27" s="38"/>
      <c r="H27" s="38"/>
      <c r="I27" s="38"/>
      <c r="J27" s="39"/>
      <c r="K27" s="38"/>
      <c r="L27" s="38"/>
      <c r="M27" s="38"/>
      <c r="N27" s="38"/>
      <c r="O27" s="38"/>
      <c r="P27" s="38"/>
      <c r="Q27" s="38"/>
      <c r="R27" s="38"/>
      <c r="S27" s="38"/>
      <c r="T27" s="38"/>
    </row>
    <row r="28" spans="1:20" s="48" customFormat="1" ht="16" thickBot="1" x14ac:dyDescent="0.25">
      <c r="A28" s="38"/>
      <c r="B28" s="39" t="s">
        <v>75</v>
      </c>
      <c r="C28" s="39"/>
      <c r="D28" s="38"/>
      <c r="E28" s="38"/>
      <c r="F28" s="38"/>
      <c r="G28" s="38"/>
      <c r="H28" s="38"/>
      <c r="I28" s="38"/>
      <c r="J28" s="39"/>
      <c r="K28" s="38"/>
      <c r="L28" s="38"/>
      <c r="M28" s="38"/>
      <c r="N28" s="38"/>
      <c r="O28" s="38"/>
      <c r="P28" s="38"/>
      <c r="Q28" s="38"/>
      <c r="R28" s="38"/>
      <c r="S28" s="38"/>
      <c r="T28" s="38"/>
    </row>
    <row r="29" spans="1:20" s="48" customFormat="1" ht="16" thickBot="1" x14ac:dyDescent="0.25">
      <c r="A29" s="38"/>
      <c r="B29" s="12" t="s">
        <v>72</v>
      </c>
      <c r="C29" s="13"/>
      <c r="D29" s="14"/>
      <c r="E29" s="15"/>
      <c r="F29" s="97" t="s">
        <v>70</v>
      </c>
      <c r="G29" s="97"/>
      <c r="H29" s="97" t="s">
        <v>71</v>
      </c>
      <c r="I29" s="97"/>
      <c r="J29" s="97" t="s">
        <v>76</v>
      </c>
      <c r="K29" s="97"/>
      <c r="L29" s="98" t="s">
        <v>65</v>
      </c>
      <c r="M29" s="38"/>
      <c r="N29" s="38"/>
      <c r="O29" s="38"/>
      <c r="P29" s="38"/>
      <c r="Q29" s="38"/>
      <c r="R29" s="38"/>
      <c r="S29" s="38"/>
      <c r="T29" s="38"/>
    </row>
    <row r="30" spans="1:20" x14ac:dyDescent="0.2">
      <c r="A30" s="38"/>
      <c r="B30" s="55" t="s">
        <v>174</v>
      </c>
      <c r="C30" s="56"/>
      <c r="D30" s="57"/>
      <c r="E30" s="57"/>
      <c r="F30" s="99">
        <f>F32</f>
        <v>0</v>
      </c>
      <c r="G30" s="100"/>
      <c r="H30" s="100">
        <f>Calculation!B37</f>
        <v>0</v>
      </c>
      <c r="I30" s="100"/>
      <c r="J30" s="100">
        <f>Calculation!B38</f>
        <v>0</v>
      </c>
      <c r="K30" s="100"/>
      <c r="L30" s="101">
        <f>Calculation!B39</f>
        <v>0</v>
      </c>
      <c r="M30" s="37"/>
      <c r="N30" s="38"/>
      <c r="O30" s="38"/>
      <c r="P30" s="38"/>
      <c r="Q30" s="38"/>
      <c r="R30" s="38"/>
      <c r="S30" s="38"/>
      <c r="T30" s="38"/>
    </row>
    <row r="31" spans="1:20" x14ac:dyDescent="0.2">
      <c r="A31" s="38"/>
      <c r="B31" s="118" t="s">
        <v>175</v>
      </c>
      <c r="C31" s="119"/>
      <c r="D31" s="120"/>
      <c r="E31" s="120"/>
      <c r="F31" s="102">
        <f>F32</f>
        <v>0</v>
      </c>
      <c r="G31" s="103"/>
      <c r="H31" s="103">
        <f>H30+Calculation!B43</f>
        <v>0</v>
      </c>
      <c r="I31" s="103"/>
      <c r="J31" s="103">
        <f>J30</f>
        <v>0</v>
      </c>
      <c r="K31" s="103"/>
      <c r="L31" s="104">
        <f>L30</f>
        <v>0</v>
      </c>
      <c r="M31" s="49"/>
      <c r="N31" s="38"/>
      <c r="O31" s="38"/>
      <c r="P31" s="38"/>
      <c r="Q31" s="38"/>
      <c r="R31" s="38"/>
      <c r="S31" s="38"/>
      <c r="T31" s="38"/>
    </row>
    <row r="32" spans="1:20" x14ac:dyDescent="0.2">
      <c r="A32" s="38"/>
      <c r="B32" s="4" t="s">
        <v>49</v>
      </c>
      <c r="C32" s="6"/>
      <c r="D32" s="6"/>
      <c r="E32" s="6"/>
      <c r="F32" s="102">
        <f>Calculation!B34</f>
        <v>0</v>
      </c>
      <c r="G32" s="103"/>
      <c r="H32" s="103">
        <f>Calculation!B33</f>
        <v>0</v>
      </c>
      <c r="I32" s="103"/>
      <c r="J32" s="103">
        <v>0</v>
      </c>
      <c r="K32" s="103"/>
      <c r="L32" s="104">
        <v>0</v>
      </c>
      <c r="M32" s="49"/>
      <c r="N32" s="42"/>
      <c r="O32" s="38"/>
      <c r="P32" s="38"/>
      <c r="Q32" s="38"/>
      <c r="R32" s="38"/>
      <c r="S32" s="38"/>
      <c r="T32" s="38"/>
    </row>
    <row r="33" spans="1:20" x14ac:dyDescent="0.2">
      <c r="A33" s="38"/>
      <c r="B33" s="4" t="s">
        <v>137</v>
      </c>
      <c r="C33" s="6"/>
      <c r="D33" s="6"/>
      <c r="E33" s="6"/>
      <c r="F33" s="102">
        <f>F32</f>
        <v>0</v>
      </c>
      <c r="G33" s="103"/>
      <c r="H33" s="103">
        <f>H32+Calculation!B42/2</f>
        <v>0</v>
      </c>
      <c r="I33" s="103"/>
      <c r="J33" s="103">
        <f>J34/2</f>
        <v>0</v>
      </c>
      <c r="K33" s="103"/>
      <c r="L33" s="104">
        <v>0</v>
      </c>
      <c r="M33" s="49"/>
      <c r="N33" s="42"/>
      <c r="O33" s="38"/>
      <c r="P33" s="38"/>
      <c r="Q33" s="38"/>
      <c r="R33" s="38"/>
      <c r="S33" s="38"/>
      <c r="T33" s="38"/>
    </row>
    <row r="34" spans="1:20" ht="16" thickBot="1" x14ac:dyDescent="0.25">
      <c r="A34" s="38"/>
      <c r="B34" s="8" t="s">
        <v>138</v>
      </c>
      <c r="C34" s="9"/>
      <c r="D34" s="9"/>
      <c r="E34" s="9"/>
      <c r="F34" s="105">
        <f>F32</f>
        <v>0</v>
      </c>
      <c r="G34" s="106"/>
      <c r="H34" s="106">
        <f>H32+Calculation!B42</f>
        <v>0</v>
      </c>
      <c r="I34" s="106"/>
      <c r="J34" s="106">
        <f>IF(L23="Pre-2009",0,Calculation!B41)</f>
        <v>0</v>
      </c>
      <c r="K34" s="106"/>
      <c r="L34" s="107">
        <v>0</v>
      </c>
      <c r="M34" s="49"/>
      <c r="N34" s="42"/>
      <c r="O34" s="38"/>
      <c r="P34" s="38"/>
      <c r="Q34" s="38"/>
      <c r="R34" s="38"/>
      <c r="S34" s="38"/>
      <c r="T34" s="38"/>
    </row>
    <row r="35" spans="1:20" x14ac:dyDescent="0.2">
      <c r="A35" s="38"/>
      <c r="B35" s="38"/>
      <c r="C35" s="38"/>
      <c r="D35" s="38"/>
      <c r="E35" s="38"/>
      <c r="F35" s="38"/>
      <c r="G35" s="38"/>
      <c r="H35" s="38"/>
      <c r="I35" s="38"/>
      <c r="J35" s="38"/>
      <c r="K35" s="38"/>
      <c r="L35" s="38"/>
      <c r="M35" s="49"/>
      <c r="N35" s="42"/>
      <c r="O35" s="38"/>
      <c r="P35" s="38"/>
      <c r="Q35" s="38"/>
      <c r="R35" s="38"/>
      <c r="S35" s="38"/>
      <c r="T35" s="38"/>
    </row>
    <row r="36" spans="1:20" ht="16" thickBot="1" x14ac:dyDescent="0.25">
      <c r="A36" s="38"/>
      <c r="B36" s="39" t="s">
        <v>77</v>
      </c>
      <c r="C36" s="39"/>
      <c r="D36" s="38"/>
      <c r="E36" s="38"/>
      <c r="F36" s="38"/>
      <c r="G36" s="38"/>
      <c r="H36" s="38"/>
      <c r="I36" s="38"/>
      <c r="J36" s="38"/>
      <c r="K36" s="38"/>
      <c r="L36" s="38"/>
      <c r="M36" s="49"/>
      <c r="N36" s="42"/>
      <c r="O36" s="38"/>
      <c r="P36" s="38"/>
      <c r="Q36" s="38"/>
      <c r="R36" s="38"/>
      <c r="S36" s="38"/>
      <c r="T36" s="38"/>
    </row>
    <row r="37" spans="1:20" ht="16" thickBot="1" x14ac:dyDescent="0.25">
      <c r="A37" s="38"/>
      <c r="B37" s="12" t="s">
        <v>72</v>
      </c>
      <c r="C37" s="13"/>
      <c r="D37" s="14"/>
      <c r="E37" s="15"/>
      <c r="F37" s="97" t="s">
        <v>50</v>
      </c>
      <c r="G37" s="16"/>
      <c r="H37" s="16"/>
      <c r="I37" s="16"/>
      <c r="J37" s="132" t="s">
        <v>78</v>
      </c>
      <c r="K37" s="132"/>
      <c r="L37" s="132"/>
      <c r="M37" s="17"/>
      <c r="N37" s="38"/>
      <c r="O37" s="38"/>
      <c r="P37" s="38"/>
      <c r="Q37" s="38"/>
      <c r="R37" s="38"/>
      <c r="S37" s="38"/>
      <c r="T37" s="38"/>
    </row>
    <row r="38" spans="1:20" x14ac:dyDescent="0.2">
      <c r="A38" s="38"/>
      <c r="B38" s="55" t="s">
        <v>174</v>
      </c>
      <c r="C38" s="56"/>
      <c r="D38" s="57"/>
      <c r="E38" s="57"/>
      <c r="F38" s="115">
        <v>0.5</v>
      </c>
      <c r="G38" s="31">
        <v>334</v>
      </c>
      <c r="H38" s="31"/>
      <c r="I38" s="31">
        <f>G38*Calculation!E$3/1000</f>
        <v>0</v>
      </c>
      <c r="J38" s="31"/>
      <c r="K38" s="24"/>
      <c r="L38" s="25"/>
      <c r="M38" s="34" t="s">
        <v>176</v>
      </c>
      <c r="N38" s="38"/>
      <c r="O38" s="38"/>
      <c r="P38" s="38"/>
      <c r="Q38" s="38"/>
      <c r="R38" s="38"/>
      <c r="S38" s="38"/>
      <c r="T38" s="38"/>
    </row>
    <row r="39" spans="1:20" x14ac:dyDescent="0.2">
      <c r="A39" s="38"/>
      <c r="B39" s="118" t="s">
        <v>175</v>
      </c>
      <c r="C39" s="119"/>
      <c r="D39" s="120"/>
      <c r="E39" s="120"/>
      <c r="F39" s="116">
        <v>1</v>
      </c>
      <c r="G39" s="28">
        <v>0</v>
      </c>
      <c r="H39" s="28"/>
      <c r="I39" s="28">
        <f>G39*Calculation!E$3/1000</f>
        <v>0</v>
      </c>
      <c r="J39" s="28"/>
      <c r="K39" s="26"/>
      <c r="L39" s="27"/>
      <c r="M39" s="29" t="s">
        <v>151</v>
      </c>
      <c r="N39" s="38"/>
      <c r="O39" s="38"/>
      <c r="P39" s="38"/>
      <c r="Q39" s="38"/>
      <c r="R39" s="38"/>
      <c r="S39" s="38"/>
      <c r="T39" s="38"/>
    </row>
    <row r="40" spans="1:20" x14ac:dyDescent="0.2">
      <c r="A40" s="38"/>
      <c r="B40" s="4" t="s">
        <v>49</v>
      </c>
      <c r="C40" s="6"/>
      <c r="D40" s="6"/>
      <c r="E40" s="6"/>
      <c r="F40" s="116">
        <v>0.33</v>
      </c>
      <c r="G40" s="28">
        <v>435</v>
      </c>
      <c r="H40" s="28"/>
      <c r="I40" s="28">
        <f>G40*Calculation!E$3/1000</f>
        <v>0</v>
      </c>
      <c r="J40" s="28"/>
      <c r="K40" s="32"/>
      <c r="L40" s="109"/>
      <c r="M40" s="33" t="s">
        <v>81</v>
      </c>
      <c r="N40" s="38"/>
      <c r="O40" s="38"/>
      <c r="P40" s="38"/>
      <c r="Q40" s="38"/>
      <c r="R40" s="38"/>
      <c r="S40" s="38"/>
      <c r="T40" s="38"/>
    </row>
    <row r="41" spans="1:20" x14ac:dyDescent="0.2">
      <c r="A41" s="38"/>
      <c r="B41" s="4" t="s">
        <v>137</v>
      </c>
      <c r="C41" s="6"/>
      <c r="D41" s="6"/>
      <c r="E41" s="6"/>
      <c r="F41" s="116">
        <f>0.5+(F40/2)</f>
        <v>0.66500000000000004</v>
      </c>
      <c r="G41" s="28">
        <f>AVERAGE(G40,G42)</f>
        <v>217.5</v>
      </c>
      <c r="H41" s="28"/>
      <c r="I41" s="28">
        <f>G41*Calculation!E$3/1000</f>
        <v>0</v>
      </c>
      <c r="J41" s="28"/>
      <c r="K41" s="32"/>
      <c r="L41" s="109"/>
      <c r="M41" s="33" t="s">
        <v>79</v>
      </c>
      <c r="N41" s="38"/>
      <c r="O41" s="38"/>
      <c r="P41" s="38"/>
      <c r="Q41" s="38"/>
      <c r="R41" s="38"/>
      <c r="S41" s="38"/>
      <c r="T41" s="38"/>
    </row>
    <row r="42" spans="1:20" ht="16" thickBot="1" x14ac:dyDescent="0.25">
      <c r="A42" s="38"/>
      <c r="B42" s="8" t="s">
        <v>138</v>
      </c>
      <c r="C42" s="9"/>
      <c r="D42" s="9"/>
      <c r="E42" s="9"/>
      <c r="F42" s="117">
        <v>1</v>
      </c>
      <c r="G42" s="30">
        <v>0</v>
      </c>
      <c r="H42" s="30"/>
      <c r="I42" s="30">
        <f>G42*Calculation!E$3/1000</f>
        <v>0</v>
      </c>
      <c r="J42" s="30"/>
      <c r="K42" s="35"/>
      <c r="L42" s="110"/>
      <c r="M42" s="36" t="s">
        <v>80</v>
      </c>
      <c r="N42" s="38"/>
      <c r="O42" s="38"/>
      <c r="P42" s="38"/>
      <c r="Q42" s="38"/>
      <c r="R42" s="38"/>
      <c r="S42" s="38"/>
      <c r="T42" s="38"/>
    </row>
    <row r="43" spans="1:20" x14ac:dyDescent="0.2">
      <c r="A43" s="38"/>
      <c r="B43" s="38"/>
      <c r="C43" s="38"/>
      <c r="D43" s="38"/>
      <c r="E43" s="38"/>
      <c r="F43" s="38"/>
      <c r="G43" s="108"/>
      <c r="H43" s="38"/>
      <c r="I43" s="38"/>
      <c r="J43" s="38"/>
      <c r="K43" s="38"/>
      <c r="L43" s="38"/>
      <c r="M43" s="7"/>
      <c r="N43" s="38"/>
      <c r="O43" s="38"/>
      <c r="P43" s="38"/>
      <c r="Q43" s="38"/>
      <c r="R43" s="38"/>
      <c r="S43" s="38"/>
      <c r="T43" s="38"/>
    </row>
    <row r="44" spans="1:20" x14ac:dyDescent="0.2">
      <c r="A44" s="38"/>
      <c r="B44" s="38"/>
      <c r="C44" s="38"/>
      <c r="D44" s="38"/>
      <c r="E44" s="38"/>
      <c r="F44" s="38"/>
      <c r="G44" s="38"/>
      <c r="H44" s="38"/>
      <c r="I44" s="38"/>
      <c r="J44" s="38"/>
      <c r="K44" s="38"/>
      <c r="L44" s="7"/>
      <c r="M44" s="7"/>
      <c r="N44" s="7"/>
      <c r="O44" s="38"/>
      <c r="P44" s="38"/>
      <c r="Q44" s="38"/>
      <c r="R44" s="38"/>
      <c r="S44" s="38"/>
      <c r="T44" s="38"/>
    </row>
    <row r="45" spans="1:20" x14ac:dyDescent="0.2">
      <c r="A45" s="38"/>
      <c r="B45" s="38"/>
      <c r="C45" s="38"/>
      <c r="D45" s="38"/>
      <c r="E45" s="38"/>
      <c r="F45" s="38"/>
      <c r="G45" s="38"/>
      <c r="H45" s="38"/>
      <c r="I45" s="38"/>
      <c r="J45" s="38"/>
      <c r="K45" s="38"/>
      <c r="L45" s="7"/>
      <c r="M45" s="7"/>
      <c r="N45" s="131"/>
      <c r="O45" s="38"/>
      <c r="P45" s="38"/>
      <c r="Q45" s="38"/>
      <c r="R45" s="38"/>
      <c r="S45" s="38"/>
      <c r="T45" s="38"/>
    </row>
    <row r="46" spans="1:20" x14ac:dyDescent="0.2">
      <c r="A46" s="38"/>
      <c r="B46" s="38"/>
      <c r="C46" s="38"/>
      <c r="D46" s="38"/>
      <c r="E46" s="38"/>
      <c r="F46" s="38"/>
      <c r="G46" s="38"/>
      <c r="H46" s="38"/>
      <c r="I46" s="38"/>
      <c r="J46" s="38"/>
      <c r="K46" s="38"/>
      <c r="L46" s="38"/>
      <c r="M46" s="38"/>
      <c r="N46" s="38"/>
      <c r="O46" s="38"/>
      <c r="P46" s="38"/>
      <c r="Q46" s="38"/>
      <c r="R46" s="38"/>
      <c r="S46" s="38"/>
      <c r="T46" s="38"/>
    </row>
    <row r="47" spans="1:20" ht="26" x14ac:dyDescent="0.3">
      <c r="A47" s="38"/>
      <c r="B47" s="53" t="s">
        <v>146</v>
      </c>
      <c r="C47" s="38"/>
      <c r="D47" s="38"/>
      <c r="E47" s="38"/>
      <c r="F47" s="38"/>
      <c r="G47" s="38"/>
      <c r="H47" s="38"/>
      <c r="I47" s="38"/>
      <c r="J47" s="38"/>
      <c r="K47" s="38"/>
      <c r="L47" s="38"/>
      <c r="M47" s="38"/>
      <c r="N47" s="38"/>
      <c r="O47" s="38"/>
      <c r="P47" s="38"/>
      <c r="Q47" s="38"/>
      <c r="R47" s="38"/>
      <c r="S47" s="38"/>
      <c r="T47" s="38"/>
    </row>
    <row r="48" spans="1:20" x14ac:dyDescent="0.2">
      <c r="A48" s="38"/>
      <c r="B48" s="38"/>
      <c r="C48" s="38"/>
      <c r="D48" s="38"/>
      <c r="E48" s="38"/>
      <c r="F48" s="38"/>
      <c r="G48" s="38"/>
      <c r="H48" s="38"/>
      <c r="I48" s="38"/>
      <c r="J48" s="38"/>
      <c r="K48" s="38"/>
      <c r="L48" s="38"/>
      <c r="M48" s="38"/>
      <c r="N48" s="38"/>
      <c r="O48" s="38"/>
      <c r="P48" s="38"/>
      <c r="Q48" s="38"/>
      <c r="R48" s="38"/>
      <c r="S48" s="38"/>
      <c r="T48" s="38"/>
    </row>
    <row r="49" spans="1:20" x14ac:dyDescent="0.2">
      <c r="A49" s="38"/>
      <c r="B49" s="39" t="s">
        <v>109</v>
      </c>
      <c r="C49" s="39"/>
      <c r="D49" s="38"/>
      <c r="E49" s="38"/>
      <c r="F49" s="38"/>
      <c r="G49" s="38"/>
      <c r="H49" s="38"/>
      <c r="I49" s="38"/>
      <c r="J49" s="38"/>
      <c r="K49" s="38"/>
      <c r="L49" s="38"/>
      <c r="M49" s="38"/>
      <c r="N49" s="38"/>
      <c r="O49" s="38"/>
      <c r="P49" s="38"/>
      <c r="Q49" s="38"/>
      <c r="R49" s="38"/>
      <c r="S49" s="38"/>
      <c r="T49" s="38"/>
    </row>
    <row r="50" spans="1:20" x14ac:dyDescent="0.2">
      <c r="A50" s="38"/>
      <c r="B50" s="50" t="s">
        <v>101</v>
      </c>
      <c r="C50" s="50"/>
      <c r="D50" s="38"/>
      <c r="E50" s="38"/>
      <c r="F50" s="38" t="s">
        <v>103</v>
      </c>
      <c r="G50" s="38"/>
      <c r="H50" s="38"/>
      <c r="I50" s="38"/>
      <c r="J50" s="38"/>
      <c r="K50" s="38"/>
      <c r="L50" s="38"/>
      <c r="M50" s="38"/>
      <c r="N50" s="38"/>
      <c r="O50" s="38"/>
      <c r="P50" s="38"/>
      <c r="Q50" s="38"/>
      <c r="R50" s="38"/>
      <c r="S50" s="38"/>
      <c r="T50" s="38"/>
    </row>
    <row r="51" spans="1:20" x14ac:dyDescent="0.2">
      <c r="A51" s="38"/>
      <c r="B51" s="50" t="s">
        <v>102</v>
      </c>
      <c r="C51" s="50"/>
      <c r="D51" s="38"/>
      <c r="E51" s="38"/>
      <c r="F51" s="38" t="s">
        <v>104</v>
      </c>
      <c r="G51" s="38"/>
      <c r="H51" s="38"/>
      <c r="I51" s="38"/>
      <c r="J51" s="38"/>
      <c r="K51" s="38"/>
      <c r="L51" s="38"/>
      <c r="M51" s="38"/>
      <c r="N51" s="38"/>
      <c r="O51" s="38"/>
      <c r="P51" s="38"/>
      <c r="Q51" s="38"/>
      <c r="R51" s="38"/>
      <c r="S51" s="38"/>
      <c r="T51" s="38"/>
    </row>
    <row r="52" spans="1:20" x14ac:dyDescent="0.2">
      <c r="A52" s="38"/>
      <c r="B52" s="50" t="s">
        <v>105</v>
      </c>
      <c r="C52" s="50"/>
      <c r="D52" s="38"/>
      <c r="E52" s="38"/>
      <c r="F52" s="38" t="s">
        <v>106</v>
      </c>
      <c r="G52" s="38"/>
      <c r="H52" s="38"/>
      <c r="I52" s="38"/>
      <c r="J52" s="38"/>
      <c r="K52" s="38"/>
      <c r="L52" s="38"/>
      <c r="M52" s="38"/>
      <c r="N52" s="38"/>
      <c r="O52" s="38"/>
      <c r="P52" s="38"/>
      <c r="Q52" s="38"/>
      <c r="R52" s="38"/>
      <c r="S52" s="38"/>
      <c r="T52" s="38"/>
    </row>
    <row r="53" spans="1:20" x14ac:dyDescent="0.2">
      <c r="A53" s="38"/>
      <c r="B53" s="50" t="s">
        <v>107</v>
      </c>
      <c r="C53" s="50"/>
      <c r="D53" s="38"/>
      <c r="E53" s="38"/>
      <c r="F53" s="38" t="s">
        <v>108</v>
      </c>
      <c r="G53" s="38"/>
      <c r="H53" s="38"/>
      <c r="I53" s="38"/>
      <c r="J53" s="38"/>
      <c r="K53" s="38"/>
      <c r="L53" s="38"/>
      <c r="M53" s="38"/>
      <c r="N53" s="38"/>
      <c r="O53" s="38"/>
      <c r="P53" s="38"/>
      <c r="Q53" s="38"/>
      <c r="R53" s="38"/>
      <c r="S53" s="38"/>
      <c r="T53" s="38"/>
    </row>
    <row r="54" spans="1:20" x14ac:dyDescent="0.2">
      <c r="A54" s="38"/>
      <c r="B54" s="38"/>
      <c r="C54" s="38"/>
      <c r="D54" s="38"/>
      <c r="E54" s="38"/>
      <c r="F54" s="38"/>
      <c r="G54" s="38"/>
      <c r="H54" s="38"/>
      <c r="I54" s="38"/>
      <c r="J54" s="38"/>
      <c r="K54" s="38"/>
      <c r="L54" s="38"/>
      <c r="M54" s="38"/>
      <c r="N54" s="38"/>
      <c r="O54" s="38"/>
      <c r="P54" s="38"/>
      <c r="Q54" s="38"/>
      <c r="R54" s="38"/>
      <c r="S54" s="38"/>
      <c r="T54" s="38"/>
    </row>
    <row r="55" spans="1:20" x14ac:dyDescent="0.2">
      <c r="A55" s="38"/>
      <c r="B55" s="39" t="s">
        <v>110</v>
      </c>
      <c r="C55" s="39"/>
      <c r="D55" s="38"/>
      <c r="E55" s="38"/>
      <c r="F55" s="38"/>
      <c r="G55" s="38"/>
      <c r="H55" s="38"/>
      <c r="I55" s="38"/>
      <c r="J55" s="38"/>
      <c r="K55" s="38"/>
      <c r="L55" s="38"/>
      <c r="M55" s="38"/>
      <c r="N55" s="38"/>
      <c r="O55" s="38"/>
      <c r="P55" s="38"/>
      <c r="Q55" s="38"/>
      <c r="R55" s="38"/>
      <c r="S55" s="38"/>
      <c r="T55" s="38"/>
    </row>
    <row r="56" spans="1:20" x14ac:dyDescent="0.2">
      <c r="A56" s="38"/>
      <c r="B56" s="50" t="s">
        <v>111</v>
      </c>
      <c r="C56" s="50"/>
      <c r="D56" s="38"/>
      <c r="E56" s="38"/>
      <c r="F56" s="38" t="s">
        <v>113</v>
      </c>
      <c r="G56" s="38"/>
      <c r="H56" s="38"/>
      <c r="I56" s="38"/>
      <c r="J56" s="38"/>
      <c r="K56" s="38"/>
      <c r="L56" s="38"/>
      <c r="M56" s="38"/>
      <c r="N56" s="38"/>
      <c r="O56" s="38"/>
      <c r="P56" s="38"/>
      <c r="Q56" s="38"/>
      <c r="R56" s="38"/>
      <c r="S56" s="38"/>
      <c r="T56" s="38"/>
    </row>
    <row r="57" spans="1:20" x14ac:dyDescent="0.2">
      <c r="A57" s="38"/>
      <c r="B57" s="50" t="s">
        <v>32</v>
      </c>
      <c r="C57" s="50"/>
      <c r="D57" s="38"/>
      <c r="E57" s="38"/>
      <c r="F57" s="38" t="s">
        <v>114</v>
      </c>
      <c r="G57" s="38"/>
      <c r="H57" s="38"/>
      <c r="I57" s="38"/>
      <c r="J57" s="38"/>
      <c r="K57" s="38"/>
      <c r="L57" s="38"/>
      <c r="M57" s="38"/>
      <c r="N57" s="38"/>
      <c r="O57" s="38"/>
      <c r="P57" s="38"/>
      <c r="Q57" s="38"/>
      <c r="R57" s="38"/>
      <c r="S57" s="38"/>
      <c r="T57" s="38"/>
    </row>
    <row r="58" spans="1:20" x14ac:dyDescent="0.2">
      <c r="A58" s="38"/>
      <c r="B58" s="50" t="s">
        <v>33</v>
      </c>
      <c r="C58" s="50"/>
      <c r="D58" s="38"/>
      <c r="E58" s="38"/>
      <c r="F58" s="38" t="s">
        <v>115</v>
      </c>
      <c r="G58" s="38"/>
      <c r="H58" s="38"/>
      <c r="I58" s="38"/>
      <c r="J58" s="38"/>
      <c r="K58" s="38"/>
      <c r="L58" s="38"/>
      <c r="M58" s="38"/>
      <c r="N58" s="38"/>
      <c r="O58" s="38"/>
      <c r="P58" s="38"/>
      <c r="Q58" s="38"/>
      <c r="R58" s="38"/>
      <c r="S58" s="38"/>
      <c r="T58" s="38"/>
    </row>
    <row r="59" spans="1:20" x14ac:dyDescent="0.2">
      <c r="A59" s="38"/>
      <c r="B59" s="50" t="s">
        <v>73</v>
      </c>
      <c r="C59" s="50"/>
      <c r="D59" s="38"/>
      <c r="E59" s="38"/>
      <c r="F59" s="38" t="s">
        <v>116</v>
      </c>
      <c r="G59" s="38"/>
      <c r="H59" s="38"/>
      <c r="I59" s="38"/>
      <c r="J59" s="38"/>
      <c r="K59" s="38"/>
      <c r="L59" s="38"/>
      <c r="M59" s="38"/>
      <c r="N59" s="38"/>
      <c r="O59" s="38"/>
      <c r="P59" s="38"/>
      <c r="Q59" s="38"/>
      <c r="R59" s="38"/>
      <c r="S59" s="38"/>
      <c r="T59" s="38"/>
    </row>
    <row r="60" spans="1:20" x14ac:dyDescent="0.2">
      <c r="A60" s="38"/>
      <c r="B60" s="50" t="s">
        <v>85</v>
      </c>
      <c r="C60" s="50"/>
      <c r="D60" s="38"/>
      <c r="E60" s="38"/>
      <c r="F60" s="38" t="s">
        <v>152</v>
      </c>
      <c r="G60" s="38"/>
      <c r="H60" s="38"/>
      <c r="I60" s="38"/>
      <c r="J60" s="38"/>
      <c r="K60" s="38"/>
      <c r="L60" s="38"/>
      <c r="M60" s="38"/>
      <c r="N60" s="38"/>
      <c r="O60" s="38"/>
      <c r="P60" s="38"/>
      <c r="Q60" s="38"/>
      <c r="R60" s="38"/>
      <c r="S60" s="38"/>
      <c r="T60" s="38"/>
    </row>
    <row r="61" spans="1:20" x14ac:dyDescent="0.2">
      <c r="A61" s="38"/>
      <c r="B61" s="50" t="s">
        <v>86</v>
      </c>
      <c r="C61" s="50"/>
      <c r="D61" s="38"/>
      <c r="E61" s="38"/>
      <c r="F61" s="38" t="s">
        <v>153</v>
      </c>
      <c r="G61" s="38"/>
      <c r="H61" s="38"/>
      <c r="I61" s="38"/>
      <c r="J61" s="38"/>
      <c r="K61" s="38"/>
      <c r="L61" s="38"/>
      <c r="M61" s="38"/>
      <c r="N61" s="38"/>
      <c r="O61" s="38"/>
      <c r="P61" s="38"/>
      <c r="Q61" s="38"/>
      <c r="R61" s="38"/>
      <c r="S61" s="38"/>
      <c r="T61" s="38"/>
    </row>
    <row r="62" spans="1:20" x14ac:dyDescent="0.2">
      <c r="A62" s="38"/>
      <c r="B62" s="50" t="s">
        <v>112</v>
      </c>
      <c r="C62" s="50"/>
      <c r="D62" s="38"/>
      <c r="E62" s="38"/>
      <c r="F62" s="38" t="s">
        <v>149</v>
      </c>
      <c r="G62" s="38"/>
      <c r="H62" s="38"/>
      <c r="I62" s="38"/>
      <c r="J62" s="38"/>
      <c r="K62" s="38"/>
      <c r="L62" s="38"/>
      <c r="M62" s="38"/>
      <c r="N62" s="38"/>
      <c r="O62" s="38"/>
      <c r="P62" s="38"/>
      <c r="Q62" s="38"/>
      <c r="R62" s="38"/>
      <c r="S62" s="38"/>
      <c r="T62" s="38"/>
    </row>
    <row r="63" spans="1:20" x14ac:dyDescent="0.2">
      <c r="A63" s="38"/>
      <c r="B63" s="38"/>
      <c r="C63" s="38"/>
      <c r="D63" s="38"/>
      <c r="E63" s="38"/>
      <c r="F63" s="38"/>
      <c r="G63" s="38"/>
      <c r="H63" s="38"/>
      <c r="I63" s="38"/>
      <c r="J63" s="38"/>
      <c r="K63" s="38"/>
      <c r="L63" s="38"/>
      <c r="M63" s="38"/>
      <c r="N63" s="38"/>
      <c r="O63" s="38"/>
      <c r="P63" s="38"/>
      <c r="Q63" s="38"/>
      <c r="R63" s="38"/>
      <c r="S63" s="38"/>
      <c r="T63" s="38"/>
    </row>
    <row r="64" spans="1:20" x14ac:dyDescent="0.2">
      <c r="A64" s="38"/>
      <c r="G64" s="38"/>
      <c r="H64" s="38"/>
      <c r="I64" s="38"/>
      <c r="J64" s="38"/>
      <c r="K64" s="38"/>
      <c r="L64" s="38"/>
      <c r="M64" s="38"/>
      <c r="N64" s="38"/>
      <c r="O64" s="38"/>
      <c r="P64" s="38"/>
      <c r="Q64" s="38"/>
      <c r="R64" s="38"/>
      <c r="S64" s="38"/>
      <c r="T64" s="38"/>
    </row>
    <row r="65" spans="1:20" x14ac:dyDescent="0.2">
      <c r="A65" s="38"/>
      <c r="M65" s="38"/>
      <c r="N65" s="38"/>
      <c r="O65" s="38"/>
      <c r="P65" s="38"/>
      <c r="Q65" s="38"/>
      <c r="R65" s="38"/>
      <c r="S65" s="38"/>
      <c r="T65" s="38"/>
    </row>
    <row r="66" spans="1:20" x14ac:dyDescent="0.2">
      <c r="A66" s="38"/>
      <c r="Q66" s="38"/>
      <c r="R66" s="38"/>
      <c r="S66" s="38"/>
      <c r="T66" s="38"/>
    </row>
  </sheetData>
  <sheetProtection formatColumns="0" formatRows="0"/>
  <mergeCells count="1">
    <mergeCell ref="J37:L37"/>
  </mergeCells>
  <conditionalFormatting sqref="H9:I14">
    <cfRule type="expression" dxfId="9" priority="8">
      <formula>ISNUMBER(SEARCH("usage",F9))</formula>
    </cfRule>
  </conditionalFormatting>
  <conditionalFormatting sqref="L9:M14">
    <cfRule type="expression" dxfId="8" priority="2">
      <formula>ISNUMBER(SEARCH("Demand",J9))</formula>
    </cfRule>
  </conditionalFormatting>
  <conditionalFormatting sqref="D13:D14">
    <cfRule type="expression" dxfId="7" priority="1">
      <formula>ISNUMBER(SEARCH("Load",B13))</formula>
    </cfRule>
  </conditionalFormatting>
  <conditionalFormatting sqref="D9:E11">
    <cfRule type="expression" dxfId="6" priority="9">
      <formula>ISNUMBER(SEARCH("usage",B9))</formula>
    </cfRule>
  </conditionalFormatting>
  <conditionalFormatting sqref="M15:M16">
    <cfRule type="expression" dxfId="5" priority="10">
      <formula>ISNUMBER(SEARCH("Load",C13))</formula>
    </cfRule>
  </conditionalFormatting>
  <dataValidations count="4">
    <dataValidation type="list" allowBlank="1" showInputMessage="1" showErrorMessage="1" sqref="R11 R13" xr:uid="{FD88F542-1841-AC4B-A2CF-8D864EA24F6D}">
      <formula1>"Yes,No"</formula1>
    </dataValidation>
    <dataValidation type="list" allowBlank="1" showInputMessage="1" showErrorMessage="1" sqref="R15" xr:uid="{94CCC905-50A6-F54F-BEEC-F3C929B4FC31}">
      <formula1>"Voluntary,Mandatory"</formula1>
    </dataValidation>
    <dataValidation type="list" allowBlank="1" showInputMessage="1" showErrorMessage="1" sqref="M18 O18" xr:uid="{00000000-0002-0000-0000-000002000000}">
      <formula1>$B$19:$B$20</formula1>
    </dataValidation>
    <dataValidation type="list" allowBlank="1" showInputMessage="1" showErrorMessage="1" sqref="L18 N18" xr:uid="{00000000-0002-0000-0000-000003000000}">
      <formula1>$B$19:$B$23</formula1>
    </dataValidation>
  </dataValidations>
  <pageMargins left="0.5" right="0.5" top="0.5" bottom="0.5" header="0.3" footer="0.3"/>
  <pageSetup scale="58" orientation="landscape" r:id="rId1"/>
  <rowBreaks count="1" manualBreakCount="1">
    <brk id="47" max="1638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4000000}">
          <x14:formula1>
            <xm:f>Calculation!#REF!</xm:f>
          </x14:formula1>
          <xm:sqref>R12</xm:sqref>
        </x14:dataValidation>
        <x14:dataValidation type="list" allowBlank="1" showInputMessage="1" showErrorMessage="1" xr:uid="{00000000-0002-0000-0000-000005000000}">
          <x14:formula1>
            <xm:f>Rates!$A$74:$A$104</xm:f>
          </x14:formula1>
          <xm:sqref>B6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7"/>
  <sheetViews>
    <sheetView topLeftCell="A2" workbookViewId="0">
      <selection activeCell="A2" sqref="A1:XFD1048576"/>
    </sheetView>
  </sheetViews>
  <sheetFormatPr baseColWidth="10" defaultColWidth="8.83203125" defaultRowHeight="15" x14ac:dyDescent="0.2"/>
  <sheetData>
    <row r="1" spans="1:7" x14ac:dyDescent="0.2">
      <c r="A1" t="s">
        <v>92</v>
      </c>
      <c r="F1" t="s">
        <v>95</v>
      </c>
      <c r="G1" t="str">
        <f>'Cost Comparison'!R13</f>
        <v>No</v>
      </c>
    </row>
    <row r="2" spans="1:7" x14ac:dyDescent="0.2">
      <c r="C2" t="s">
        <v>97</v>
      </c>
      <c r="D2" t="s">
        <v>98</v>
      </c>
      <c r="F2" t="s">
        <v>96</v>
      </c>
      <c r="G2">
        <f>Calculation!E3</f>
        <v>0</v>
      </c>
    </row>
    <row r="3" spans="1:7" x14ac:dyDescent="0.2">
      <c r="A3" s="124" t="s">
        <v>22</v>
      </c>
      <c r="B3">
        <v>7.8939999999999996E-2</v>
      </c>
      <c r="C3">
        <f>IF(AND($G$1="Yes",Calculation!$E$2=CARE!$A3,'Cost Comparison'!B6&lt;&gt;"TC-1"),Calculation!$E$3,0)</f>
        <v>0</v>
      </c>
      <c r="D3">
        <f>B3*C3</f>
        <v>0</v>
      </c>
    </row>
    <row r="4" spans="1:7" x14ac:dyDescent="0.2">
      <c r="A4" s="124" t="s">
        <v>93</v>
      </c>
      <c r="B4">
        <v>7.6280000000000001E-2</v>
      </c>
      <c r="C4">
        <f>IF(AND($G$1="Yes",Calculation!$E$2=CARE!$A4),Calculation!$E$3,0)</f>
        <v>0</v>
      </c>
      <c r="D4">
        <f>B4*C4</f>
        <v>0</v>
      </c>
    </row>
    <row r="5" spans="1:7" x14ac:dyDescent="0.2">
      <c r="A5" s="124" t="s">
        <v>23</v>
      </c>
      <c r="B5">
        <v>7.0660000000000001E-2</v>
      </c>
      <c r="C5">
        <f>IF(AND($G$1="Yes",Calculation!$E$2=CARE!$A5),Calculation!$E$3,0)</f>
        <v>0</v>
      </c>
      <c r="D5">
        <f>B5*C5</f>
        <v>0</v>
      </c>
    </row>
    <row r="6" spans="1:7" x14ac:dyDescent="0.2">
      <c r="A6" s="124" t="s">
        <v>24</v>
      </c>
      <c r="B6">
        <v>6.2619999999999995E-2</v>
      </c>
      <c r="C6">
        <f>IF(AND($G$1="Yes",Calculation!$E$2=CARE!$A6),Calculation!$E$3,0)</f>
        <v>0</v>
      </c>
      <c r="D6">
        <f t="shared" ref="D6:D7" si="0">B6*C6</f>
        <v>0</v>
      </c>
    </row>
    <row r="7" spans="1:7" x14ac:dyDescent="0.2">
      <c r="A7" s="124" t="s">
        <v>94</v>
      </c>
      <c r="B7">
        <v>5.1450000000000003E-2</v>
      </c>
      <c r="C7">
        <f>IF(AND($G$1="Yes",Calculation!$E$2=CARE!$A7),Calculation!$E$3,0)</f>
        <v>0</v>
      </c>
      <c r="D7">
        <f t="shared" si="0"/>
        <v>0</v>
      </c>
    </row>
  </sheetData>
  <sheetProtection algorithmName="SHA-512" hashValue="PXUVBdXIuZipLpexMR77+Lpqvyy0VJT2sfQWCLZ8K2nhZA9EqrwHr8w48Vg09O4ZEpexvR8ZBbSgFf0m2dLBdw==" saltValue="wVayfdWHNr6DAcgipILXtQ==" spinCount="100000" sheet="1" objects="1" scenarios="1"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43"/>
  <sheetViews>
    <sheetView zoomScale="150" zoomScaleNormal="130" workbookViewId="0">
      <selection sqref="A1:XFD1048576"/>
    </sheetView>
  </sheetViews>
  <sheetFormatPr baseColWidth="10" defaultColWidth="8.83203125" defaultRowHeight="15" x14ac:dyDescent="0.2"/>
  <cols>
    <col min="1" max="1" width="18.83203125" bestFit="1" customWidth="1"/>
    <col min="3" max="3" width="12.83203125" bestFit="1" customWidth="1"/>
    <col min="4" max="4" width="15.1640625" bestFit="1" customWidth="1"/>
    <col min="5" max="5" width="14.5" bestFit="1" customWidth="1"/>
    <col min="6" max="6" width="16.5" bestFit="1" customWidth="1"/>
    <col min="7" max="7" width="13.5" bestFit="1" customWidth="1"/>
    <col min="8" max="8" width="15.5" bestFit="1" customWidth="1"/>
  </cols>
  <sheetData>
    <row r="1" spans="1:8" x14ac:dyDescent="0.2">
      <c r="A1" t="s">
        <v>141</v>
      </c>
      <c r="B1">
        <f>IF('Cost Comparison'!R10="",MAX('Cost Comparison'!1:1),IF(E1&lt;MIN('Cost Comparison'!1:1),'Cost Comparison'!B14,E1))</f>
        <v>2017</v>
      </c>
      <c r="D1" t="s">
        <v>35</v>
      </c>
      <c r="E1">
        <f>MIN(IFERROR(IF(MONTH('Cost Comparison'!R10)&lt;7,YEAR('Cost Comparison'!R10)-1,YEAR('Cost Comparison'!R10)),MAX('PCIA  FF'!C1:K1)),MAX('PCIA  FF'!C1:K1))</f>
        <v>2017</v>
      </c>
      <c r="G1" t="s">
        <v>56</v>
      </c>
      <c r="H1">
        <f>IFERROR(B2*E3,0)</f>
        <v>0</v>
      </c>
    </row>
    <row r="2" spans="1:8" x14ac:dyDescent="0.2">
      <c r="A2" t="s">
        <v>36</v>
      </c>
      <c r="B2">
        <f>VLOOKUP(E2,'PCIA  FF'!A2:T12,MATCH(B1,'PCIA  FF'!1:1,0),FALSE)</f>
        <v>2.4660000000000001E-2</v>
      </c>
      <c r="D2" t="s">
        <v>37</v>
      </c>
      <c r="E2" t="str">
        <f>VLOOKUP('Cost Comparison'!B6,Rates!$A$74:$S$104,19,0)</f>
        <v>A1</v>
      </c>
    </row>
    <row r="3" spans="1:8" x14ac:dyDescent="0.2">
      <c r="A3" t="s">
        <v>63</v>
      </c>
      <c r="B3">
        <f>IF('Cost Comparison'!$R$11="No",VLOOKUP(E2,'PCIA  FF'!A14:T24,MATCH(B1,'PCIA  FF'!14:14,0),FALSE),0)</f>
        <v>6.2E-4</v>
      </c>
      <c r="D3" t="s">
        <v>57</v>
      </c>
      <c r="E3">
        <f>SUMIF(C7:C15,"&lt;&gt;FALSE",B7:B15)</f>
        <v>0</v>
      </c>
      <c r="G3" t="s">
        <v>62</v>
      </c>
      <c r="H3">
        <f>E3*B3</f>
        <v>0</v>
      </c>
    </row>
    <row r="5" spans="1:8" x14ac:dyDescent="0.2">
      <c r="A5" t="s">
        <v>38</v>
      </c>
    </row>
    <row r="6" spans="1:8" x14ac:dyDescent="0.2">
      <c r="B6" t="s">
        <v>51</v>
      </c>
      <c r="C6" t="s">
        <v>52</v>
      </c>
      <c r="D6" t="s">
        <v>53</v>
      </c>
      <c r="E6" t="s">
        <v>54</v>
      </c>
      <c r="F6" t="s">
        <v>55</v>
      </c>
      <c r="G6" t="s">
        <v>185</v>
      </c>
      <c r="H6" t="s">
        <v>186</v>
      </c>
    </row>
    <row r="7" spans="1:8" x14ac:dyDescent="0.2">
      <c r="A7" t="s">
        <v>130</v>
      </c>
      <c r="B7">
        <f>'Cost Comparison'!D9</f>
        <v>0</v>
      </c>
      <c r="C7" t="b">
        <f>VLOOKUP('Cost Comparison'!$B$6,Rates!$A$2:$W$33,2,0)</f>
        <v>0</v>
      </c>
      <c r="D7">
        <f t="shared" ref="D7:D27" si="0">B7*C7</f>
        <v>0</v>
      </c>
      <c r="E7" t="b">
        <f>VLOOKUP('Cost Comparison'!$B$6,Rates!$A$38:$W$71,2,0)</f>
        <v>0</v>
      </c>
      <c r="F7">
        <f t="shared" ref="F7:F23" si="1">B7*E7</f>
        <v>0</v>
      </c>
      <c r="G7" t="b">
        <f>VLOOKUP('Cost Comparison'!$B$6,Rates!$A$73:$W$106,2,0)</f>
        <v>0</v>
      </c>
      <c r="H7">
        <f t="shared" ref="H7:H23" si="2">G7*B7</f>
        <v>0</v>
      </c>
    </row>
    <row r="8" spans="1:8" x14ac:dyDescent="0.2">
      <c r="A8" t="s">
        <v>131</v>
      </c>
      <c r="B8">
        <f>'Cost Comparison'!D10</f>
        <v>0</v>
      </c>
      <c r="C8">
        <f>VLOOKUP('Cost Comparison'!$B$6,Rates!$A$2:$W$33,3,0)</f>
        <v>0.25385999999999997</v>
      </c>
      <c r="D8">
        <f t="shared" si="0"/>
        <v>0</v>
      </c>
      <c r="E8">
        <f>VLOOKUP('Cost Comparison'!$B$6,Rates!$A$38:$W$71,3,0)</f>
        <v>0.12570000000000001</v>
      </c>
      <c r="F8">
        <f t="shared" si="1"/>
        <v>0</v>
      </c>
      <c r="G8">
        <f>VLOOKUP('Cost Comparison'!$B$6,Rates!$A$73:$W$106,3,0)</f>
        <v>9.4140000000000001E-2</v>
      </c>
      <c r="H8">
        <f t="shared" si="2"/>
        <v>0</v>
      </c>
    </row>
    <row r="9" spans="1:8" x14ac:dyDescent="0.2">
      <c r="A9" t="s">
        <v>132</v>
      </c>
      <c r="B9">
        <f>'Cost Comparison'!D11</f>
        <v>0</v>
      </c>
      <c r="C9">
        <f>VLOOKUP('Cost Comparison'!$B$6,Rates!$A$2:$W$33,4,0)</f>
        <v>0.19670000000000001</v>
      </c>
      <c r="D9">
        <f t="shared" si="0"/>
        <v>0</v>
      </c>
      <c r="E9">
        <f>VLOOKUP('Cost Comparison'!$B$6,Rates!$A$38:$W$71,4,0)</f>
        <v>8.6480000000000001E-2</v>
      </c>
      <c r="F9">
        <f t="shared" si="1"/>
        <v>0</v>
      </c>
      <c r="G9">
        <f>VLOOKUP('Cost Comparison'!$B$6,Rates!$A$73:$W$106,4,0)</f>
        <v>5.688E-2</v>
      </c>
      <c r="H9">
        <f t="shared" si="2"/>
        <v>0</v>
      </c>
    </row>
    <row r="10" spans="1:8" x14ac:dyDescent="0.2">
      <c r="A10" t="s">
        <v>5</v>
      </c>
      <c r="B10">
        <f>'Cost Comparison'!H9</f>
        <v>0</v>
      </c>
      <c r="C10" t="b">
        <f>VLOOKUP('Cost Comparison'!$B$6,Rates!$A$2:$W$33,5,0)</f>
        <v>0</v>
      </c>
      <c r="D10">
        <f t="shared" si="0"/>
        <v>0</v>
      </c>
      <c r="E10" t="b">
        <f>VLOOKUP('Cost Comparison'!$B$6,Rates!$A$38:$W$71,5,0)</f>
        <v>0</v>
      </c>
      <c r="F10">
        <f t="shared" si="1"/>
        <v>0</v>
      </c>
      <c r="G10" t="b">
        <f>VLOOKUP('Cost Comparison'!$B$6,Rates!$A$73:$W$106,5,0)</f>
        <v>0</v>
      </c>
      <c r="H10">
        <f t="shared" si="2"/>
        <v>0</v>
      </c>
    </row>
    <row r="11" spans="1:8" x14ac:dyDescent="0.2">
      <c r="A11" t="s">
        <v>12</v>
      </c>
      <c r="B11">
        <f>'Cost Comparison'!H10</f>
        <v>0</v>
      </c>
      <c r="C11" t="b">
        <f>VLOOKUP('Cost Comparison'!$B$6,Rates!$A$2:$W$33,6,0)</f>
        <v>0</v>
      </c>
      <c r="D11">
        <f t="shared" si="0"/>
        <v>0</v>
      </c>
      <c r="E11" t="b">
        <f>VLOOKUP('Cost Comparison'!$B$6,Rates!$A$38:$W$71,6,0)</f>
        <v>0</v>
      </c>
      <c r="F11">
        <f t="shared" si="1"/>
        <v>0</v>
      </c>
      <c r="G11" t="b">
        <f>VLOOKUP('Cost Comparison'!$B$6,Rates!$A$73:$W$106,6,0)</f>
        <v>0</v>
      </c>
      <c r="H11">
        <f t="shared" si="2"/>
        <v>0</v>
      </c>
    </row>
    <row r="12" spans="1:8" x14ac:dyDescent="0.2">
      <c r="A12" t="s">
        <v>7</v>
      </c>
      <c r="B12">
        <f>'Cost Comparison'!H11</f>
        <v>0</v>
      </c>
      <c r="C12" t="b">
        <f>VLOOKUP('Cost Comparison'!$B$6,Rates!$A$2:$W$33,7,0)</f>
        <v>0</v>
      </c>
      <c r="D12">
        <f t="shared" si="0"/>
        <v>0</v>
      </c>
      <c r="E12" t="b">
        <f>VLOOKUP('Cost Comparison'!$B$6,Rates!$A$38:$W$71,7,0)</f>
        <v>0</v>
      </c>
      <c r="F12">
        <f t="shared" si="1"/>
        <v>0</v>
      </c>
      <c r="G12" t="b">
        <f>VLOOKUP('Cost Comparison'!$B$6,Rates!$A$73:$W$106,7,0)</f>
        <v>0</v>
      </c>
      <c r="H12">
        <f t="shared" si="2"/>
        <v>0</v>
      </c>
    </row>
    <row r="13" spans="1:8" x14ac:dyDescent="0.2">
      <c r="A13" t="s">
        <v>8</v>
      </c>
      <c r="B13">
        <f>'Cost Comparison'!H12</f>
        <v>0</v>
      </c>
      <c r="C13" t="b">
        <f>VLOOKUP('Cost Comparison'!$B$6,Rates!$A$2:$W$33,8,0)</f>
        <v>0</v>
      </c>
      <c r="D13">
        <f t="shared" si="0"/>
        <v>0</v>
      </c>
      <c r="E13" t="b">
        <f>VLOOKUP('Cost Comparison'!$B$6,Rates!$A$38:$W$71,8,0)</f>
        <v>0</v>
      </c>
      <c r="F13">
        <f t="shared" si="1"/>
        <v>0</v>
      </c>
      <c r="G13" t="b">
        <f>VLOOKUP('Cost Comparison'!$B$6,Rates!$A$73:$W$106,8,0)</f>
        <v>0</v>
      </c>
      <c r="H13">
        <f t="shared" si="2"/>
        <v>0</v>
      </c>
    </row>
    <row r="14" spans="1:8" x14ac:dyDescent="0.2">
      <c r="A14" t="s">
        <v>39</v>
      </c>
      <c r="B14">
        <f>'Cost Comparison'!H13</f>
        <v>0</v>
      </c>
      <c r="C14" t="b">
        <f>VLOOKUP('Cost Comparison'!$B$6,Rates!$A$2:$W$33,9,0)</f>
        <v>0</v>
      </c>
      <c r="D14">
        <f t="shared" si="0"/>
        <v>0</v>
      </c>
      <c r="E14" t="b">
        <f>VLOOKUP('Cost Comparison'!$B$6,Rates!$A$38:$W$71,9,0)</f>
        <v>0</v>
      </c>
      <c r="F14">
        <f t="shared" si="1"/>
        <v>0</v>
      </c>
      <c r="G14" t="b">
        <f>VLOOKUP('Cost Comparison'!$B$6,Rates!$A$73:$W$106,9,0)</f>
        <v>0</v>
      </c>
      <c r="H14">
        <f t="shared" si="2"/>
        <v>0</v>
      </c>
    </row>
    <row r="15" spans="1:8" x14ac:dyDescent="0.2">
      <c r="A15" t="s">
        <v>10</v>
      </c>
      <c r="B15">
        <f>'Cost Comparison'!H14</f>
        <v>0</v>
      </c>
      <c r="C15" t="b">
        <f>VLOOKUP('Cost Comparison'!$B$6,Rates!$A$2:$W$33,10,0)</f>
        <v>0</v>
      </c>
      <c r="D15">
        <f t="shared" si="0"/>
        <v>0</v>
      </c>
      <c r="E15" t="b">
        <f>VLOOKUP('Cost Comparison'!$B$6,Rates!$A$38:$W$71,10,0)</f>
        <v>0</v>
      </c>
      <c r="F15">
        <f t="shared" si="1"/>
        <v>0</v>
      </c>
      <c r="G15" t="b">
        <f>VLOOKUP('Cost Comparison'!$B$6,Rates!$A$73:$W$106,10,0)</f>
        <v>0</v>
      </c>
      <c r="H15">
        <f t="shared" si="2"/>
        <v>0</v>
      </c>
    </row>
    <row r="16" spans="1:8" x14ac:dyDescent="0.2">
      <c r="A16" t="s">
        <v>41</v>
      </c>
      <c r="B16">
        <f>'Cost Comparison'!L9</f>
        <v>0</v>
      </c>
      <c r="C16" t="b">
        <f>VLOOKUP('Cost Comparison'!$B$6,Rates!$A$2:$W$33,11,0)</f>
        <v>0</v>
      </c>
      <c r="D16">
        <f t="shared" si="0"/>
        <v>0</v>
      </c>
      <c r="E16" t="b">
        <f>VLOOKUP('Cost Comparison'!$B$6,Rates!$A$38:$W$71,11,0)</f>
        <v>0</v>
      </c>
      <c r="F16">
        <f t="shared" si="1"/>
        <v>0</v>
      </c>
      <c r="G16" t="b">
        <f>VLOOKUP('Cost Comparison'!$B$6,Rates!$A$73:$W$106,11,0)</f>
        <v>0</v>
      </c>
      <c r="H16">
        <f t="shared" si="2"/>
        <v>0</v>
      </c>
    </row>
    <row r="17" spans="1:8" x14ac:dyDescent="0.2">
      <c r="A17" t="s">
        <v>42</v>
      </c>
      <c r="B17">
        <f>'Cost Comparison'!L10</f>
        <v>0</v>
      </c>
      <c r="C17" t="b">
        <f>VLOOKUP('Cost Comparison'!$B$6,Rates!$A$2:$W$33,12,0)</f>
        <v>0</v>
      </c>
      <c r="D17">
        <f t="shared" si="0"/>
        <v>0</v>
      </c>
      <c r="E17" t="b">
        <f>VLOOKUP('Cost Comparison'!$B$6,Rates!$A$38:$W$71,12,0)</f>
        <v>0</v>
      </c>
      <c r="F17">
        <f t="shared" si="1"/>
        <v>0</v>
      </c>
      <c r="G17" t="b">
        <f>VLOOKUP('Cost Comparison'!$B$6,Rates!$A$73:$W$106,12,0)</f>
        <v>0</v>
      </c>
      <c r="H17">
        <f t="shared" si="2"/>
        <v>0</v>
      </c>
    </row>
    <row r="18" spans="1:8" x14ac:dyDescent="0.2">
      <c r="A18" t="s">
        <v>40</v>
      </c>
      <c r="B18">
        <f>'Cost Comparison'!L11</f>
        <v>0</v>
      </c>
      <c r="C18" t="b">
        <f>VLOOKUP('Cost Comparison'!$B$6,Rates!$A$2:$W$33,13,0)</f>
        <v>0</v>
      </c>
      <c r="D18">
        <f t="shared" si="0"/>
        <v>0</v>
      </c>
      <c r="E18" t="b">
        <f>VLOOKUP('Cost Comparison'!$B$6,Rates!$A$38:$W$71,13,0)</f>
        <v>0</v>
      </c>
      <c r="F18">
        <f t="shared" si="1"/>
        <v>0</v>
      </c>
      <c r="G18" t="b">
        <f>VLOOKUP('Cost Comparison'!$B$6,Rates!$A$73:$W$106,13,0)</f>
        <v>0</v>
      </c>
      <c r="H18">
        <f t="shared" si="2"/>
        <v>0</v>
      </c>
    </row>
    <row r="19" spans="1:8" x14ac:dyDescent="0.2">
      <c r="A19" t="s">
        <v>44</v>
      </c>
      <c r="B19">
        <f>'Cost Comparison'!L12</f>
        <v>0</v>
      </c>
      <c r="C19" t="b">
        <f>VLOOKUP('Cost Comparison'!$B$6,Rates!$A$2:$W$33,14,0)</f>
        <v>0</v>
      </c>
      <c r="D19">
        <f t="shared" si="0"/>
        <v>0</v>
      </c>
      <c r="E19" t="b">
        <f>VLOOKUP('Cost Comparison'!$B$6,Rates!$A$38:$W$71,14,0)</f>
        <v>0</v>
      </c>
      <c r="F19">
        <f t="shared" si="1"/>
        <v>0</v>
      </c>
      <c r="G19" t="b">
        <f>VLOOKUP('Cost Comparison'!$B$6,Rates!$A$73:$W$106,14,0)</f>
        <v>0</v>
      </c>
      <c r="H19">
        <f t="shared" si="2"/>
        <v>0</v>
      </c>
    </row>
    <row r="20" spans="1:8" x14ac:dyDescent="0.2">
      <c r="A20" t="s">
        <v>45</v>
      </c>
      <c r="B20">
        <f>'Cost Comparison'!L13</f>
        <v>0</v>
      </c>
      <c r="C20" t="b">
        <f>VLOOKUP('Cost Comparison'!$B$6,Rates!$A$2:$W$33,15,0)</f>
        <v>0</v>
      </c>
      <c r="D20">
        <f t="shared" si="0"/>
        <v>0</v>
      </c>
      <c r="E20" t="b">
        <f>VLOOKUP('Cost Comparison'!$B$6,Rates!$A$38:$W$71,15,0)</f>
        <v>0</v>
      </c>
      <c r="F20">
        <f t="shared" si="1"/>
        <v>0</v>
      </c>
      <c r="G20" t="b">
        <f>VLOOKUP('Cost Comparison'!$B$6,Rates!$A$73:$W$106,15,0)</f>
        <v>0</v>
      </c>
      <c r="H20">
        <f t="shared" si="2"/>
        <v>0</v>
      </c>
    </row>
    <row r="21" spans="1:8" x14ac:dyDescent="0.2">
      <c r="A21" t="s">
        <v>43</v>
      </c>
      <c r="B21">
        <f>'Cost Comparison'!L14</f>
        <v>0</v>
      </c>
      <c r="C21" t="b">
        <f>VLOOKUP('Cost Comparison'!$B$6,Rates!$A$2:$W$33,16,0)</f>
        <v>0</v>
      </c>
      <c r="D21">
        <f t="shared" si="0"/>
        <v>0</v>
      </c>
      <c r="E21" t="b">
        <f>VLOOKUP('Cost Comparison'!$B$6,Rates!$A$38:$W$71,16,0)</f>
        <v>0</v>
      </c>
      <c r="F21">
        <f t="shared" si="1"/>
        <v>0</v>
      </c>
      <c r="G21" t="b">
        <f>VLOOKUP('Cost Comparison'!$B$6,Rates!$A$73:$W$106,16,0)</f>
        <v>0</v>
      </c>
      <c r="H21">
        <f t="shared" si="2"/>
        <v>0</v>
      </c>
    </row>
    <row r="22" spans="1:8" x14ac:dyDescent="0.2">
      <c r="A22" t="s">
        <v>135</v>
      </c>
      <c r="B22">
        <f>'Cost Comparison'!D13</f>
        <v>0</v>
      </c>
      <c r="C22" t="b">
        <f>VLOOKUP('Cost Comparison'!$B$6,Rates!$A$2:$W$33,17,0)</f>
        <v>0</v>
      </c>
      <c r="D22">
        <f t="shared" si="0"/>
        <v>0</v>
      </c>
      <c r="E22" t="b">
        <f>VLOOKUP('Cost Comparison'!$B$6,Rates!$A$38:$W$71,17,0)</f>
        <v>0</v>
      </c>
      <c r="F22">
        <f t="shared" si="1"/>
        <v>0</v>
      </c>
      <c r="G22" t="b">
        <f>VLOOKUP('Cost Comparison'!$B$6,Rates!$A$73:$W$106,17,0)</f>
        <v>0</v>
      </c>
      <c r="H22">
        <f t="shared" si="2"/>
        <v>0</v>
      </c>
    </row>
    <row r="23" spans="1:8" x14ac:dyDescent="0.2">
      <c r="A23" t="s">
        <v>136</v>
      </c>
      <c r="B23">
        <f>'Cost Comparison'!D14</f>
        <v>0</v>
      </c>
      <c r="C23" t="b">
        <f>VLOOKUP('Cost Comparison'!$B$6,Rates!$A$2:$W$33,18,0)</f>
        <v>0</v>
      </c>
      <c r="D23">
        <f t="shared" si="0"/>
        <v>0</v>
      </c>
      <c r="E23" t="b">
        <f>VLOOKUP('Cost Comparison'!$B$6,Rates!$A$38:$W$71,18,0)</f>
        <v>0</v>
      </c>
      <c r="F23">
        <f t="shared" si="1"/>
        <v>0</v>
      </c>
      <c r="G23" t="b">
        <f>VLOOKUP('Cost Comparison'!$B$6,Rates!$A$73:$W$106,18,0)</f>
        <v>0</v>
      </c>
      <c r="H23">
        <f t="shared" si="2"/>
        <v>0</v>
      </c>
    </row>
    <row r="24" spans="1:8" x14ac:dyDescent="0.2">
      <c r="A24">
        <f>'PCIA  FF'!S2</f>
        <v>0</v>
      </c>
      <c r="B24">
        <f>IF(A24='Cost Comparison'!$R$12,'Cost Comparison'!$R$9,0)</f>
        <v>0</v>
      </c>
      <c r="C24">
        <f>VLOOKUP('Cost Comparison'!$B$6,Rates!$A$2:$W$33,19,0)</f>
        <v>0.32854</v>
      </c>
      <c r="D24">
        <f t="shared" si="0"/>
        <v>0</v>
      </c>
    </row>
    <row r="25" spans="1:8" x14ac:dyDescent="0.2">
      <c r="A25">
        <f>'PCIA  FF'!T2</f>
        <v>0</v>
      </c>
      <c r="B25">
        <f>IF(A25='Cost Comparison'!$R$12,'Cost Comparison'!$R$9,0)</f>
        <v>0</v>
      </c>
      <c r="C25">
        <f>VLOOKUP('Cost Comparison'!$B$6,Rates!$A$2:$W$33,20,0)</f>
        <v>0.65708</v>
      </c>
      <c r="D25">
        <f t="shared" si="0"/>
        <v>0</v>
      </c>
    </row>
    <row r="26" spans="1:8" x14ac:dyDescent="0.2">
      <c r="A26" t="s">
        <v>89</v>
      </c>
      <c r="B26">
        <f>IF(E2="E19",IF('Cost Comparison'!R15="Voluntary",'Cost Comparison'!R9,0),0)</f>
        <v>0</v>
      </c>
      <c r="C26" t="b">
        <f>VLOOKUP('Cost Comparison'!$B$6,Rates!$A$2:$W$33,21,0)</f>
        <v>0</v>
      </c>
      <c r="D26">
        <f t="shared" si="0"/>
        <v>0</v>
      </c>
    </row>
    <row r="27" spans="1:8" x14ac:dyDescent="0.2">
      <c r="A27" t="s">
        <v>88</v>
      </c>
      <c r="B27">
        <f>IF(E2="E19",IF('Cost Comparison'!R15="Mandatory",'Cost Comparison'!R9,0),0)</f>
        <v>0</v>
      </c>
      <c r="C27" t="b">
        <f>VLOOKUP('Cost Comparison'!$B$6,Rates!$A$2:$W$33,22,0)</f>
        <v>0</v>
      </c>
      <c r="D27">
        <f t="shared" si="0"/>
        <v>0</v>
      </c>
    </row>
    <row r="28" spans="1:8" x14ac:dyDescent="0.2">
      <c r="A28" s="2" t="s">
        <v>90</v>
      </c>
      <c r="D28">
        <f>SUM(D7:D27)</f>
        <v>0</v>
      </c>
      <c r="F28">
        <f>SUM(F7:F25)</f>
        <v>0</v>
      </c>
      <c r="H28">
        <f>SUM(H7:H25)</f>
        <v>0</v>
      </c>
    </row>
    <row r="30" spans="1:8" x14ac:dyDescent="0.2">
      <c r="A30" t="s">
        <v>99</v>
      </c>
      <c r="B30">
        <f>D28</f>
        <v>0</v>
      </c>
    </row>
    <row r="31" spans="1:8" x14ac:dyDescent="0.2">
      <c r="A31" t="s">
        <v>100</v>
      </c>
      <c r="B31">
        <f>SUM(CARE!D3:D7)</f>
        <v>0</v>
      </c>
    </row>
    <row r="32" spans="1:8" x14ac:dyDescent="0.2">
      <c r="A32" t="s">
        <v>58</v>
      </c>
      <c r="B32">
        <f>B30-B31</f>
        <v>0</v>
      </c>
      <c r="E32" t="s">
        <v>172</v>
      </c>
      <c r="F32">
        <v>0.01</v>
      </c>
    </row>
    <row r="33" spans="1:6" x14ac:dyDescent="0.2">
      <c r="A33" t="s">
        <v>59</v>
      </c>
      <c r="B33">
        <f>F28</f>
        <v>0</v>
      </c>
    </row>
    <row r="34" spans="1:6" x14ac:dyDescent="0.2">
      <c r="A34" t="s">
        <v>60</v>
      </c>
      <c r="B34">
        <f>B32-B33</f>
        <v>0</v>
      </c>
    </row>
    <row r="35" spans="1:6" x14ac:dyDescent="0.2">
      <c r="A35" t="s">
        <v>181</v>
      </c>
      <c r="B35">
        <f>H28</f>
        <v>0</v>
      </c>
    </row>
    <row r="36" spans="1:6" x14ac:dyDescent="0.2">
      <c r="A36" t="s">
        <v>182</v>
      </c>
      <c r="B36">
        <f>F37*F32</f>
        <v>0</v>
      </c>
    </row>
    <row r="37" spans="1:6" x14ac:dyDescent="0.2">
      <c r="A37" t="s">
        <v>183</v>
      </c>
      <c r="B37">
        <f>SUM(B35:B36)</f>
        <v>0</v>
      </c>
      <c r="E37" t="s">
        <v>91</v>
      </c>
      <c r="F37">
        <f>SUMIFS(B8:B15,B8:B15,"&lt;0",C8:C15,"&lt;&gt;FALSE")</f>
        <v>0</v>
      </c>
    </row>
    <row r="38" spans="1:6" x14ac:dyDescent="0.2">
      <c r="A38" t="s">
        <v>19</v>
      </c>
      <c r="B38">
        <f>H1</f>
        <v>0</v>
      </c>
    </row>
    <row r="39" spans="1:6" x14ac:dyDescent="0.2">
      <c r="A39" t="s">
        <v>61</v>
      </c>
      <c r="B39">
        <f>H3</f>
        <v>0</v>
      </c>
    </row>
    <row r="40" spans="1:6" x14ac:dyDescent="0.2">
      <c r="A40" t="s">
        <v>66</v>
      </c>
      <c r="B40">
        <f>E3*VLOOKUP(E2,'PCIA  FF'!A27:B36,2,FALSE)</f>
        <v>0</v>
      </c>
    </row>
    <row r="41" spans="1:6" x14ac:dyDescent="0.2">
      <c r="A41" t="s">
        <v>69</v>
      </c>
      <c r="B41">
        <f>VLOOKUP(Calculation!E2,'PCIA  FF'!A1:T11,MATCH(MAX('PCIA  FF'!27:27),'PCIA  FF'!A1:T1,0),FALSE)*E3</f>
        <v>0</v>
      </c>
    </row>
    <row r="42" spans="1:6" x14ac:dyDescent="0.2">
      <c r="A42" t="s">
        <v>68</v>
      </c>
      <c r="B42">
        <f>B40-B41</f>
        <v>0</v>
      </c>
    </row>
    <row r="43" spans="1:6" x14ac:dyDescent="0.2">
      <c r="A43" t="s">
        <v>184</v>
      </c>
      <c r="B43">
        <f>IF(E3*F32&lt;0,0,E3*F32)</f>
        <v>0</v>
      </c>
    </row>
  </sheetData>
  <sheetProtection algorithmName="SHA-512" hashValue="+wLQ2vrk89uCC14UEi5QAhtbTtvEDrcdnjM+joJSU823t8LSUAs3Gz6AZcg04Qeb4EIsXMkr8h+2oQc8M03PUw==" saltValue="Z80wh1Rg+4kPKBYNxZUHlQ==" spinCount="100000" sheet="1" objects="1" scenarios="1" select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V104"/>
  <sheetViews>
    <sheetView zoomScale="140" zoomScaleNormal="140" workbookViewId="0">
      <selection sqref="A1:XFD1048576"/>
    </sheetView>
  </sheetViews>
  <sheetFormatPr baseColWidth="10" defaultColWidth="8.83203125" defaultRowHeight="15" x14ac:dyDescent="0.2"/>
  <cols>
    <col min="1" max="1" width="19" style="48" bestFit="1" customWidth="1"/>
    <col min="2" max="2" width="11.6640625" customWidth="1"/>
    <col min="3" max="3" width="15.5" bestFit="1" customWidth="1"/>
    <col min="4" max="4" width="9.1640625" bestFit="1" customWidth="1"/>
    <col min="5" max="5" width="13.1640625" customWidth="1"/>
    <col min="6" max="6" width="15" customWidth="1"/>
    <col min="7" max="7" width="12.33203125" customWidth="1"/>
    <col min="8" max="8" width="12.1640625" customWidth="1"/>
    <col min="9" max="9" width="13.5" customWidth="1"/>
    <col min="10" max="10" width="11.83203125" customWidth="1"/>
    <col min="11" max="11" width="16" bestFit="1" customWidth="1"/>
    <col min="12" max="12" width="12.5" bestFit="1" customWidth="1"/>
    <col min="13" max="13" width="18" bestFit="1" customWidth="1"/>
    <col min="14" max="14" width="11.83203125" bestFit="1" customWidth="1"/>
    <col min="15" max="15" width="13.5" bestFit="1" customWidth="1"/>
    <col min="16" max="16" width="11.33203125" bestFit="1" customWidth="1"/>
    <col min="17" max="17" width="15.33203125" bestFit="1" customWidth="1"/>
    <col min="18" max="18" width="15.33203125" customWidth="1"/>
    <col min="19" max="19" width="12.33203125" customWidth="1"/>
    <col min="20" max="20" width="10.83203125" bestFit="1" customWidth="1"/>
  </cols>
  <sheetData>
    <row r="1" spans="1:22" x14ac:dyDescent="0.2">
      <c r="A1" s="48" t="s">
        <v>16</v>
      </c>
      <c r="C1" t="s">
        <v>3</v>
      </c>
      <c r="E1" t="s">
        <v>4</v>
      </c>
      <c r="K1" t="s">
        <v>11</v>
      </c>
      <c r="S1" t="s">
        <v>18</v>
      </c>
    </row>
    <row r="2" spans="1:22" x14ac:dyDescent="0.2">
      <c r="A2" s="48" t="s">
        <v>0</v>
      </c>
      <c r="B2" t="s">
        <v>15</v>
      </c>
      <c r="C2" t="s">
        <v>1</v>
      </c>
      <c r="D2" t="s">
        <v>2</v>
      </c>
      <c r="E2" t="s">
        <v>5</v>
      </c>
      <c r="F2" t="s">
        <v>6</v>
      </c>
      <c r="G2" t="s">
        <v>7</v>
      </c>
      <c r="H2" t="s">
        <v>8</v>
      </c>
      <c r="I2" t="s">
        <v>9</v>
      </c>
      <c r="J2" t="s">
        <v>10</v>
      </c>
      <c r="K2" t="s">
        <v>5</v>
      </c>
      <c r="L2" t="s">
        <v>12</v>
      </c>
      <c r="M2" t="s">
        <v>13</v>
      </c>
      <c r="N2" t="s">
        <v>8</v>
      </c>
      <c r="O2" t="s">
        <v>9</v>
      </c>
      <c r="P2" t="s">
        <v>14</v>
      </c>
      <c r="Q2" t="s">
        <v>134</v>
      </c>
      <c r="R2" t="s">
        <v>133</v>
      </c>
      <c r="S2" t="s">
        <v>46</v>
      </c>
      <c r="T2" t="s">
        <v>47</v>
      </c>
      <c r="U2" t="s">
        <v>89</v>
      </c>
      <c r="V2" t="s">
        <v>88</v>
      </c>
    </row>
    <row r="3" spans="1:22" x14ac:dyDescent="0.2">
      <c r="A3" s="124" t="s">
        <v>155</v>
      </c>
      <c r="B3" s="3" t="b">
        <v>0</v>
      </c>
      <c r="C3" s="96">
        <v>0.25385999999999997</v>
      </c>
      <c r="D3" s="96">
        <v>0.19670000000000001</v>
      </c>
      <c r="E3" s="3" t="b">
        <v>0</v>
      </c>
      <c r="F3" s="3" t="b">
        <v>0</v>
      </c>
      <c r="G3" s="3" t="b">
        <v>0</v>
      </c>
      <c r="H3" s="3" t="b">
        <v>0</v>
      </c>
      <c r="I3" s="3" t="b">
        <v>0</v>
      </c>
      <c r="J3" s="3" t="b">
        <v>0</v>
      </c>
      <c r="K3" s="3" t="b">
        <v>0</v>
      </c>
      <c r="L3" s="3" t="b">
        <v>0</v>
      </c>
      <c r="M3" s="3" t="b">
        <v>0</v>
      </c>
      <c r="N3" s="3" t="b">
        <v>0</v>
      </c>
      <c r="O3" s="3" t="b">
        <v>0</v>
      </c>
      <c r="P3" s="3" t="b">
        <v>0</v>
      </c>
      <c r="Q3" s="3" t="b">
        <v>0</v>
      </c>
      <c r="R3" s="3" t="b">
        <v>0</v>
      </c>
      <c r="S3" s="129">
        <v>0.32854</v>
      </c>
      <c r="T3" s="129">
        <v>0.65708</v>
      </c>
      <c r="U3" s="3" t="b">
        <v>0</v>
      </c>
      <c r="V3" s="3" t="b">
        <v>0</v>
      </c>
    </row>
    <row r="4" spans="1:22" x14ac:dyDescent="0.2">
      <c r="A4" s="124" t="s">
        <v>156</v>
      </c>
      <c r="B4" s="3" t="b">
        <v>0</v>
      </c>
      <c r="C4" s="3" t="b">
        <v>0</v>
      </c>
      <c r="D4" s="3" t="b">
        <v>0</v>
      </c>
      <c r="E4" s="96">
        <v>0.26800000000000002</v>
      </c>
      <c r="F4" s="96">
        <v>0.24435000000000001</v>
      </c>
      <c r="G4" s="96">
        <v>0.217</v>
      </c>
      <c r="H4" s="3" t="b">
        <v>0</v>
      </c>
      <c r="I4" s="96">
        <v>0.22622</v>
      </c>
      <c r="J4" s="96">
        <v>0.20530000000000001</v>
      </c>
      <c r="K4" s="3" t="b">
        <v>0</v>
      </c>
      <c r="L4" s="3" t="b">
        <v>0</v>
      </c>
      <c r="M4" s="3" t="b">
        <v>0</v>
      </c>
      <c r="N4" s="3" t="b">
        <v>0</v>
      </c>
      <c r="O4" s="3" t="b">
        <v>0</v>
      </c>
      <c r="P4" s="3" t="b">
        <v>0</v>
      </c>
      <c r="Q4" s="3" t="b">
        <v>0</v>
      </c>
      <c r="R4" s="3" t="b">
        <v>0</v>
      </c>
      <c r="S4" s="48">
        <f>S3</f>
        <v>0.32854</v>
      </c>
      <c r="T4" s="48">
        <f>T3</f>
        <v>0.65708</v>
      </c>
      <c r="U4" s="3" t="b">
        <v>0</v>
      </c>
      <c r="V4" s="3" t="b">
        <v>0</v>
      </c>
    </row>
    <row r="5" spans="1:22" x14ac:dyDescent="0.2">
      <c r="A5" s="124" t="s">
        <v>93</v>
      </c>
      <c r="B5" s="3" t="b">
        <v>0</v>
      </c>
      <c r="C5" s="3" t="b">
        <v>0</v>
      </c>
      <c r="D5" s="3" t="b">
        <v>0</v>
      </c>
      <c r="E5" s="96">
        <v>0.56477999999999995</v>
      </c>
      <c r="F5" s="96">
        <v>0.26795999999999998</v>
      </c>
      <c r="G5" s="96">
        <v>0.19636999999999999</v>
      </c>
      <c r="H5" s="3" t="b">
        <v>0</v>
      </c>
      <c r="I5" s="96">
        <v>0.21389</v>
      </c>
      <c r="J5" s="96">
        <v>0.19564999999999999</v>
      </c>
      <c r="K5" s="3" t="b">
        <v>0</v>
      </c>
      <c r="L5" s="3" t="b">
        <v>0</v>
      </c>
      <c r="M5" s="3" t="b">
        <v>0</v>
      </c>
      <c r="N5" s="3" t="b">
        <v>0</v>
      </c>
      <c r="O5" s="3" t="b">
        <v>0</v>
      </c>
      <c r="P5" s="3" t="b">
        <v>0</v>
      </c>
      <c r="Q5" s="3" t="b">
        <v>0</v>
      </c>
      <c r="R5" s="3" t="b">
        <v>0</v>
      </c>
      <c r="S5" s="48">
        <f>S3</f>
        <v>0.32854</v>
      </c>
      <c r="T5" s="48">
        <f>T3</f>
        <v>0.65708</v>
      </c>
      <c r="U5" s="3" t="b">
        <v>0</v>
      </c>
      <c r="V5" s="3" t="b">
        <v>0</v>
      </c>
    </row>
    <row r="6" spans="1:22" x14ac:dyDescent="0.2">
      <c r="A6" s="124" t="s">
        <v>157</v>
      </c>
      <c r="B6" s="3" t="b">
        <v>0</v>
      </c>
      <c r="C6" s="96">
        <v>0.16949</v>
      </c>
      <c r="D6" s="96">
        <v>0.13075000000000001</v>
      </c>
      <c r="E6" s="3" t="b">
        <v>0</v>
      </c>
      <c r="F6" s="3" t="b">
        <v>0</v>
      </c>
      <c r="G6" s="3" t="b">
        <v>0</v>
      </c>
      <c r="H6" s="3" t="b">
        <v>0</v>
      </c>
      <c r="I6" s="3" t="b">
        <v>0</v>
      </c>
      <c r="J6" s="3" t="b">
        <v>0</v>
      </c>
      <c r="K6" s="3" t="b">
        <v>0</v>
      </c>
      <c r="L6" s="3" t="b">
        <v>0</v>
      </c>
      <c r="M6" s="96">
        <v>19.52</v>
      </c>
      <c r="N6" s="3" t="b">
        <v>0</v>
      </c>
      <c r="O6" s="3" t="b">
        <v>0</v>
      </c>
      <c r="P6" s="96">
        <v>11.76</v>
      </c>
      <c r="Q6" s="3" t="b">
        <v>0</v>
      </c>
      <c r="R6" s="3" t="b">
        <v>0</v>
      </c>
      <c r="S6" s="129">
        <v>4.5995900000000001</v>
      </c>
      <c r="T6" s="48">
        <f>S6</f>
        <v>4.5995900000000001</v>
      </c>
      <c r="U6" s="3" t="b">
        <v>0</v>
      </c>
      <c r="V6" s="3" t="b">
        <v>0</v>
      </c>
    </row>
    <row r="7" spans="1:22" x14ac:dyDescent="0.2">
      <c r="A7" s="124" t="s">
        <v>158</v>
      </c>
      <c r="B7" s="3" t="b">
        <v>0</v>
      </c>
      <c r="C7" s="3" t="b">
        <v>0</v>
      </c>
      <c r="D7" s="3" t="b">
        <v>0</v>
      </c>
      <c r="E7" s="96">
        <v>0.22337000000000001</v>
      </c>
      <c r="F7" s="96">
        <v>0.16824</v>
      </c>
      <c r="G7" s="96">
        <v>0.14016999999999999</v>
      </c>
      <c r="H7" s="3" t="b">
        <v>0</v>
      </c>
      <c r="I7" s="96">
        <v>0.14054</v>
      </c>
      <c r="J7" s="96">
        <v>0.12347</v>
      </c>
      <c r="K7" s="3" t="b">
        <v>0</v>
      </c>
      <c r="L7" s="3" t="b">
        <v>0</v>
      </c>
      <c r="M7" s="96">
        <v>19.52</v>
      </c>
      <c r="N7" s="3" t="b">
        <v>0</v>
      </c>
      <c r="O7" s="3" t="b">
        <v>0</v>
      </c>
      <c r="P7" s="96">
        <v>11.76</v>
      </c>
      <c r="Q7" s="3" t="b">
        <v>0</v>
      </c>
      <c r="R7" s="3" t="b">
        <v>0</v>
      </c>
      <c r="S7" s="48">
        <f>S6</f>
        <v>4.5995900000000001</v>
      </c>
      <c r="T7" s="48">
        <f>T6</f>
        <v>4.5995900000000001</v>
      </c>
      <c r="U7" s="3" t="b">
        <v>0</v>
      </c>
      <c r="V7" s="3" t="b">
        <v>0</v>
      </c>
    </row>
    <row r="8" spans="1:22" x14ac:dyDescent="0.2">
      <c r="A8" s="124" t="s">
        <v>159</v>
      </c>
      <c r="B8" s="3" t="b">
        <v>0</v>
      </c>
      <c r="C8" s="3" t="b">
        <v>0</v>
      </c>
      <c r="D8" s="3" t="b">
        <v>0</v>
      </c>
      <c r="E8" s="96">
        <v>0.16055</v>
      </c>
      <c r="F8" s="96">
        <v>0.11613</v>
      </c>
      <c r="G8" s="96">
        <v>8.6709999999999995E-2</v>
      </c>
      <c r="H8" s="3" t="b">
        <v>0</v>
      </c>
      <c r="I8" s="96">
        <v>0.11004</v>
      </c>
      <c r="J8" s="96">
        <v>9.4009999999999996E-2</v>
      </c>
      <c r="K8" s="96">
        <v>19.649999999999999</v>
      </c>
      <c r="L8" s="96">
        <v>5.4</v>
      </c>
      <c r="M8" s="96">
        <v>17.739999999999998</v>
      </c>
      <c r="N8" s="3" t="b">
        <v>0</v>
      </c>
      <c r="O8" s="96">
        <v>0.12</v>
      </c>
      <c r="P8" s="96">
        <v>17.739999999999998</v>
      </c>
      <c r="Q8" s="3" t="b">
        <v>0</v>
      </c>
      <c r="R8" s="3" t="b">
        <v>0</v>
      </c>
      <c r="S8" s="3" t="b">
        <v>0</v>
      </c>
      <c r="T8" s="3" t="b">
        <v>0</v>
      </c>
      <c r="U8">
        <f>S6</f>
        <v>4.5995900000000001</v>
      </c>
      <c r="V8" s="96">
        <v>19.712530000000001</v>
      </c>
    </row>
    <row r="9" spans="1:22" x14ac:dyDescent="0.2">
      <c r="A9" s="124" t="s">
        <v>160</v>
      </c>
      <c r="B9" s="3" t="b">
        <v>0</v>
      </c>
      <c r="C9" s="3" t="b">
        <v>0</v>
      </c>
      <c r="D9" s="3" t="b">
        <v>0</v>
      </c>
      <c r="E9" s="96">
        <v>0.14943999999999999</v>
      </c>
      <c r="F9" s="96">
        <v>0.10739</v>
      </c>
      <c r="G9" s="96">
        <v>8.0360000000000001E-2</v>
      </c>
      <c r="H9" s="3" t="b">
        <v>0</v>
      </c>
      <c r="I9" s="96">
        <v>0.10170999999999999</v>
      </c>
      <c r="J9" s="96">
        <v>8.7040000000000006E-2</v>
      </c>
      <c r="K9" s="96">
        <v>17.489999999999998</v>
      </c>
      <c r="L9" s="96">
        <v>4.72</v>
      </c>
      <c r="M9" s="96">
        <v>14.7</v>
      </c>
      <c r="N9" s="3" t="b">
        <v>0</v>
      </c>
      <c r="O9" s="96">
        <v>0.14000000000000001</v>
      </c>
      <c r="P9" s="96">
        <v>14.7</v>
      </c>
      <c r="Q9" s="3" t="b">
        <v>0</v>
      </c>
      <c r="R9" s="3" t="b">
        <v>0</v>
      </c>
      <c r="S9" s="3" t="b">
        <v>0</v>
      </c>
      <c r="T9" s="3" t="b">
        <v>0</v>
      </c>
      <c r="U9">
        <f>U8</f>
        <v>4.5995900000000001</v>
      </c>
      <c r="V9" s="96">
        <v>32.854210000000002</v>
      </c>
    </row>
    <row r="10" spans="1:22" x14ac:dyDescent="0.2">
      <c r="A10" s="124" t="s">
        <v>162</v>
      </c>
      <c r="B10" s="3" t="b">
        <v>0</v>
      </c>
      <c r="C10" s="3" t="b">
        <v>0</v>
      </c>
      <c r="D10" s="3" t="b">
        <v>0</v>
      </c>
      <c r="E10" s="96">
        <v>0.11286</v>
      </c>
      <c r="F10" s="96">
        <v>9.8589999999999997E-2</v>
      </c>
      <c r="G10" s="96">
        <v>7.9699999999999993E-2</v>
      </c>
      <c r="H10" s="3" t="b">
        <v>0</v>
      </c>
      <c r="I10" s="96">
        <v>0.10083</v>
      </c>
      <c r="J10" s="96">
        <v>8.6319999999999994E-2</v>
      </c>
      <c r="K10" s="96">
        <v>14.06</v>
      </c>
      <c r="L10" s="96">
        <v>3.53</v>
      </c>
      <c r="M10" s="96">
        <v>9.56</v>
      </c>
      <c r="N10" s="3" t="b">
        <v>0</v>
      </c>
      <c r="O10" s="3">
        <v>0</v>
      </c>
      <c r="P10" s="96">
        <v>9.56</v>
      </c>
      <c r="Q10" s="3" t="b">
        <v>0</v>
      </c>
      <c r="R10" s="3" t="b">
        <v>0</v>
      </c>
      <c r="S10" s="3" t="b">
        <v>0</v>
      </c>
      <c r="T10" s="3" t="b">
        <v>0</v>
      </c>
      <c r="U10">
        <f>U9</f>
        <v>4.5995900000000001</v>
      </c>
      <c r="V10" s="96">
        <v>59.13758</v>
      </c>
    </row>
    <row r="11" spans="1:22" x14ac:dyDescent="0.2">
      <c r="A11" s="124" t="s">
        <v>161</v>
      </c>
      <c r="B11" s="3" t="b">
        <v>0</v>
      </c>
      <c r="C11" s="3" t="b">
        <v>0</v>
      </c>
      <c r="D11" s="3" t="b">
        <v>0</v>
      </c>
      <c r="E11" s="96">
        <v>0.36094999999999999</v>
      </c>
      <c r="F11" s="96">
        <v>0.16677</v>
      </c>
      <c r="G11" s="96">
        <v>8.6709999999999995E-2</v>
      </c>
      <c r="H11" s="3" t="b">
        <v>0</v>
      </c>
      <c r="I11" s="96">
        <v>0.11051999999999999</v>
      </c>
      <c r="J11" s="96">
        <v>9.4009999999999996E-2</v>
      </c>
      <c r="K11" s="96">
        <v>1.45</v>
      </c>
      <c r="L11" s="96">
        <v>0.5</v>
      </c>
      <c r="M11" s="96">
        <v>17.739999999999998</v>
      </c>
      <c r="N11" s="3" t="b">
        <v>0</v>
      </c>
      <c r="O11" s="96">
        <v>0.03</v>
      </c>
      <c r="P11" s="96">
        <v>17.739999999999998</v>
      </c>
      <c r="Q11" s="3" t="b">
        <v>0</v>
      </c>
      <c r="R11" s="3" t="b">
        <v>0</v>
      </c>
      <c r="S11" s="3" t="b">
        <v>0</v>
      </c>
      <c r="T11" s="3" t="b">
        <v>0</v>
      </c>
      <c r="U11">
        <f t="shared" ref="U11:V13" si="0">U8</f>
        <v>4.5995900000000001</v>
      </c>
      <c r="V11">
        <f t="shared" si="0"/>
        <v>19.712530000000001</v>
      </c>
    </row>
    <row r="12" spans="1:22" x14ac:dyDescent="0.2">
      <c r="A12" s="124" t="s">
        <v>163</v>
      </c>
      <c r="B12" s="3" t="b">
        <v>0</v>
      </c>
      <c r="C12" s="3" t="b">
        <v>0</v>
      </c>
      <c r="D12" s="3" t="b">
        <v>0</v>
      </c>
      <c r="E12" s="96">
        <v>0.34687000000000001</v>
      </c>
      <c r="F12" s="96">
        <v>0.15634000000000001</v>
      </c>
      <c r="G12" s="96">
        <v>8.0360000000000001E-2</v>
      </c>
      <c r="H12" s="3" t="b">
        <v>0</v>
      </c>
      <c r="I12" s="96">
        <v>0.10234</v>
      </c>
      <c r="J12" s="96">
        <v>8.7040000000000006E-2</v>
      </c>
      <c r="K12" s="96">
        <v>1.28</v>
      </c>
      <c r="L12" s="96">
        <v>0.43</v>
      </c>
      <c r="M12" s="96">
        <v>14.7</v>
      </c>
      <c r="N12" s="3" t="b">
        <v>0</v>
      </c>
      <c r="O12" s="96">
        <v>0.04</v>
      </c>
      <c r="P12" s="96">
        <v>14.7</v>
      </c>
      <c r="Q12" s="3" t="b">
        <v>0</v>
      </c>
      <c r="R12" s="3" t="b">
        <v>0</v>
      </c>
      <c r="S12" s="3" t="b">
        <v>0</v>
      </c>
      <c r="T12" s="3" t="b">
        <v>0</v>
      </c>
      <c r="U12">
        <f t="shared" si="0"/>
        <v>4.5995900000000001</v>
      </c>
      <c r="V12">
        <f t="shared" si="0"/>
        <v>32.854210000000002</v>
      </c>
    </row>
    <row r="13" spans="1:22" x14ac:dyDescent="0.2">
      <c r="A13" s="124" t="s">
        <v>164</v>
      </c>
      <c r="B13" s="3" t="b">
        <v>0</v>
      </c>
      <c r="C13" s="3" t="b">
        <v>0</v>
      </c>
      <c r="D13" s="3" t="b">
        <v>0</v>
      </c>
      <c r="E13" s="96">
        <v>0.29876000000000003</v>
      </c>
      <c r="F13" s="96">
        <v>0.14244000000000001</v>
      </c>
      <c r="G13" s="96">
        <v>7.9699999999999993E-2</v>
      </c>
      <c r="H13" s="3" t="b">
        <v>0</v>
      </c>
      <c r="I13" s="96">
        <v>0.10083</v>
      </c>
      <c r="J13" s="96">
        <v>8.6319999999999994E-2</v>
      </c>
      <c r="K13" s="3">
        <v>0</v>
      </c>
      <c r="L13" s="3">
        <v>0</v>
      </c>
      <c r="M13" s="96">
        <v>9.56</v>
      </c>
      <c r="N13" s="3" t="b">
        <v>0</v>
      </c>
      <c r="O13" s="3">
        <v>0</v>
      </c>
      <c r="P13" s="96">
        <v>9.56</v>
      </c>
      <c r="Q13" s="3" t="b">
        <v>0</v>
      </c>
      <c r="R13" s="3" t="b">
        <v>0</v>
      </c>
      <c r="S13" s="3" t="b">
        <v>0</v>
      </c>
      <c r="T13" s="3" t="b">
        <v>0</v>
      </c>
      <c r="U13">
        <f t="shared" si="0"/>
        <v>4.5995900000000001</v>
      </c>
      <c r="V13">
        <f t="shared" si="0"/>
        <v>59.13758</v>
      </c>
    </row>
    <row r="14" spans="1:22" x14ac:dyDescent="0.2">
      <c r="A14" s="124" t="s">
        <v>165</v>
      </c>
      <c r="B14" s="3" t="b">
        <v>0</v>
      </c>
      <c r="C14" s="3" t="b">
        <v>0</v>
      </c>
      <c r="D14" s="3" t="b">
        <v>0</v>
      </c>
      <c r="E14" s="96">
        <v>0.15078</v>
      </c>
      <c r="F14" s="96">
        <v>0.10981</v>
      </c>
      <c r="G14" s="96">
        <v>8.2100000000000006E-2</v>
      </c>
      <c r="H14" s="3" t="b">
        <v>0</v>
      </c>
      <c r="I14" s="96">
        <v>0.10395</v>
      </c>
      <c r="J14" s="96">
        <v>8.8929999999999995E-2</v>
      </c>
      <c r="K14" s="96">
        <v>19.02</v>
      </c>
      <c r="L14" s="96">
        <v>5.23</v>
      </c>
      <c r="M14" s="96">
        <v>17.87</v>
      </c>
      <c r="N14" s="3" t="b">
        <v>0</v>
      </c>
      <c r="O14" s="96">
        <v>0.05</v>
      </c>
      <c r="P14" s="96">
        <v>17.87</v>
      </c>
      <c r="Q14" s="3" t="b">
        <v>0</v>
      </c>
      <c r="R14" s="3" t="b">
        <v>0</v>
      </c>
      <c r="S14" s="3" t="b">
        <v>0</v>
      </c>
      <c r="T14" s="3" t="b">
        <v>0</v>
      </c>
      <c r="U14" s="3" t="b">
        <v>0</v>
      </c>
      <c r="V14" s="96">
        <v>39.425049999999999</v>
      </c>
    </row>
    <row r="15" spans="1:22" x14ac:dyDescent="0.2">
      <c r="A15" s="124" t="s">
        <v>166</v>
      </c>
      <c r="B15" s="3" t="b">
        <v>0</v>
      </c>
      <c r="C15" s="3" t="b">
        <v>0</v>
      </c>
      <c r="D15" s="3" t="b">
        <v>0</v>
      </c>
      <c r="E15" s="96">
        <v>0.15198999999999999</v>
      </c>
      <c r="F15" s="96">
        <v>0.10749</v>
      </c>
      <c r="G15" s="96">
        <v>8.0119999999999997E-2</v>
      </c>
      <c r="H15" s="3" t="b">
        <v>0</v>
      </c>
      <c r="I15" s="96">
        <v>0.10163</v>
      </c>
      <c r="J15" s="96">
        <v>8.6840000000000001E-2</v>
      </c>
      <c r="K15" s="96">
        <v>20.34</v>
      </c>
      <c r="L15" s="96">
        <v>5.36</v>
      </c>
      <c r="M15" s="96">
        <v>15.61</v>
      </c>
      <c r="N15" s="3" t="b">
        <v>0</v>
      </c>
      <c r="O15" s="96">
        <v>0.12</v>
      </c>
      <c r="P15" s="96">
        <v>15.61</v>
      </c>
      <c r="Q15" s="3" t="b">
        <v>0</v>
      </c>
      <c r="R15" s="3" t="b">
        <v>0</v>
      </c>
      <c r="S15" s="3" t="b">
        <v>0</v>
      </c>
      <c r="T15" s="3" t="b">
        <v>0</v>
      </c>
      <c r="U15" s="3" t="b">
        <v>0</v>
      </c>
      <c r="V15" s="96">
        <v>49.281309999999998</v>
      </c>
    </row>
    <row r="16" spans="1:22" x14ac:dyDescent="0.2">
      <c r="A16" s="124" t="s">
        <v>167</v>
      </c>
      <c r="B16" s="3" t="b">
        <v>0</v>
      </c>
      <c r="C16" s="3" t="b">
        <v>0</v>
      </c>
      <c r="D16" s="3" t="b">
        <v>0</v>
      </c>
      <c r="E16" s="96">
        <v>0.10502</v>
      </c>
      <c r="F16" s="96">
        <v>9.1609999999999997E-2</v>
      </c>
      <c r="G16" s="96">
        <v>7.3859999999999995E-2</v>
      </c>
      <c r="H16" s="3" t="b">
        <v>0</v>
      </c>
      <c r="I16" s="96">
        <v>9.3719999999999998E-2</v>
      </c>
      <c r="J16" s="96">
        <v>8.0079999999999998E-2</v>
      </c>
      <c r="K16" s="96">
        <v>17.420000000000002</v>
      </c>
      <c r="L16" s="96">
        <v>4.1500000000000004</v>
      </c>
      <c r="M16" s="96">
        <v>9.07</v>
      </c>
      <c r="N16" s="3" t="b">
        <v>0</v>
      </c>
      <c r="O16" s="3">
        <v>0</v>
      </c>
      <c r="P16" s="96">
        <v>9.07</v>
      </c>
      <c r="Q16" s="3" t="b">
        <v>0</v>
      </c>
      <c r="R16" s="3" t="b">
        <v>0</v>
      </c>
      <c r="S16" s="3" t="b">
        <v>0</v>
      </c>
      <c r="T16" s="3" t="b">
        <v>0</v>
      </c>
      <c r="U16" s="3" t="b">
        <v>0</v>
      </c>
      <c r="V16" s="96">
        <v>65.708420000000004</v>
      </c>
    </row>
    <row r="17" spans="1:22" x14ac:dyDescent="0.2">
      <c r="A17" s="124" t="s">
        <v>168</v>
      </c>
      <c r="B17" s="3" t="b">
        <v>0</v>
      </c>
      <c r="C17" s="3" t="b">
        <v>0</v>
      </c>
      <c r="D17" s="3" t="b">
        <v>0</v>
      </c>
      <c r="E17" s="96">
        <v>0.33040000000000003</v>
      </c>
      <c r="F17" s="96">
        <v>0.15704000000000001</v>
      </c>
      <c r="G17" s="96">
        <v>8.2100000000000006E-2</v>
      </c>
      <c r="H17" s="3" t="b">
        <v>0</v>
      </c>
      <c r="I17" s="96">
        <v>0.10414</v>
      </c>
      <c r="J17" s="96">
        <v>8.8929999999999995E-2</v>
      </c>
      <c r="K17" s="96">
        <v>1.4</v>
      </c>
      <c r="L17" s="96">
        <v>0.48</v>
      </c>
      <c r="M17" s="96">
        <v>17.87</v>
      </c>
      <c r="N17" s="3" t="b">
        <v>0</v>
      </c>
      <c r="O17" s="96">
        <v>0.01</v>
      </c>
      <c r="P17" s="96">
        <v>17.87</v>
      </c>
      <c r="Q17" s="3" t="b">
        <v>0</v>
      </c>
      <c r="R17" s="3" t="b">
        <v>0</v>
      </c>
      <c r="S17" s="3" t="b">
        <v>0</v>
      </c>
      <c r="T17" s="3" t="b">
        <v>0</v>
      </c>
      <c r="U17" s="3" t="b">
        <v>0</v>
      </c>
      <c r="V17">
        <f>V14</f>
        <v>39.425049999999999</v>
      </c>
    </row>
    <row r="18" spans="1:22" x14ac:dyDescent="0.2">
      <c r="A18" s="124" t="s">
        <v>170</v>
      </c>
      <c r="B18" s="3" t="b">
        <v>0</v>
      </c>
      <c r="C18" s="3" t="b">
        <v>0</v>
      </c>
      <c r="D18" s="3" t="b">
        <v>0</v>
      </c>
      <c r="E18" s="96">
        <v>0.34638000000000002</v>
      </c>
      <c r="F18" s="96">
        <v>0.15390999999999999</v>
      </c>
      <c r="G18" s="96">
        <v>8.0119999999999997E-2</v>
      </c>
      <c r="H18" s="3" t="b">
        <v>0</v>
      </c>
      <c r="I18" s="96">
        <v>0.10209</v>
      </c>
      <c r="J18" s="96">
        <v>8.6840000000000001E-2</v>
      </c>
      <c r="K18" s="96">
        <v>1.41</v>
      </c>
      <c r="L18" s="96">
        <v>0.47</v>
      </c>
      <c r="M18" s="96">
        <v>15.61</v>
      </c>
      <c r="N18" s="3" t="b">
        <v>0</v>
      </c>
      <c r="O18" s="96">
        <v>0.03</v>
      </c>
      <c r="P18" s="96">
        <v>15.61</v>
      </c>
      <c r="Q18" s="3" t="b">
        <v>0</v>
      </c>
      <c r="R18" s="3" t="b">
        <v>0</v>
      </c>
      <c r="S18" s="3" t="b">
        <v>0</v>
      </c>
      <c r="T18" s="3" t="b">
        <v>0</v>
      </c>
      <c r="U18" s="3" t="b">
        <v>0</v>
      </c>
      <c r="V18">
        <f t="shared" ref="V18:V19" si="1">V15</f>
        <v>49.281309999999998</v>
      </c>
    </row>
    <row r="19" spans="1:22" x14ac:dyDescent="0.2">
      <c r="A19" s="124" t="s">
        <v>169</v>
      </c>
      <c r="B19" s="3" t="b">
        <v>0</v>
      </c>
      <c r="C19" s="3" t="b">
        <v>0</v>
      </c>
      <c r="D19" s="3" t="b">
        <v>0</v>
      </c>
      <c r="E19" s="96">
        <v>0.29314000000000001</v>
      </c>
      <c r="F19" s="96">
        <v>0.13145000000000001</v>
      </c>
      <c r="G19" s="96">
        <v>7.3859999999999995E-2</v>
      </c>
      <c r="H19" s="3" t="b">
        <v>0</v>
      </c>
      <c r="I19" s="96">
        <v>9.3810000000000004E-2</v>
      </c>
      <c r="J19" s="96">
        <v>8.0079999999999998E-2</v>
      </c>
      <c r="K19" s="3">
        <v>0</v>
      </c>
      <c r="L19" s="3">
        <v>0</v>
      </c>
      <c r="M19" s="96">
        <v>9.07</v>
      </c>
      <c r="N19" s="3" t="b">
        <v>0</v>
      </c>
      <c r="O19" s="3">
        <v>0</v>
      </c>
      <c r="P19" s="96">
        <v>9.07</v>
      </c>
      <c r="Q19" s="3" t="b">
        <v>0</v>
      </c>
      <c r="R19" s="3" t="b">
        <v>0</v>
      </c>
      <c r="S19" s="3" t="b">
        <v>0</v>
      </c>
      <c r="T19" s="3" t="b">
        <v>0</v>
      </c>
      <c r="U19" s="3" t="b">
        <v>0</v>
      </c>
      <c r="V19">
        <f t="shared" si="1"/>
        <v>65.708420000000004</v>
      </c>
    </row>
    <row r="20" spans="1:22" x14ac:dyDescent="0.2">
      <c r="A20" s="124" t="s">
        <v>171</v>
      </c>
      <c r="B20" s="96">
        <v>0.16450999999999999</v>
      </c>
      <c r="C20" s="3" t="b">
        <v>0</v>
      </c>
      <c r="D20" s="3" t="b">
        <v>0</v>
      </c>
      <c r="E20" s="3" t="b">
        <v>0</v>
      </c>
      <c r="F20" s="3" t="b">
        <v>0</v>
      </c>
      <c r="G20" s="3" t="b">
        <v>0</v>
      </c>
      <c r="H20" s="3" t="b">
        <v>0</v>
      </c>
      <c r="I20" s="3" t="b">
        <v>0</v>
      </c>
      <c r="J20" s="3" t="b">
        <v>0</v>
      </c>
      <c r="K20" s="3" t="b">
        <v>0</v>
      </c>
      <c r="L20" s="3" t="b">
        <v>0</v>
      </c>
      <c r="M20" s="3" t="b">
        <v>0</v>
      </c>
      <c r="N20" s="3" t="b">
        <v>0</v>
      </c>
      <c r="O20" s="3" t="b">
        <v>0</v>
      </c>
      <c r="P20" s="3" t="b">
        <v>0</v>
      </c>
      <c r="Q20" s="3" t="b">
        <v>0</v>
      </c>
      <c r="R20" s="3" t="b">
        <v>0</v>
      </c>
      <c r="S20" s="3" t="b">
        <v>0</v>
      </c>
      <c r="T20" s="3" t="b">
        <f t="shared" ref="T20:T21" si="2">S20</f>
        <v>0</v>
      </c>
      <c r="U20" s="3" t="b">
        <v>0</v>
      </c>
      <c r="V20" s="3" t="b">
        <v>0</v>
      </c>
    </row>
    <row r="21" spans="1:22" x14ac:dyDescent="0.2">
      <c r="A21" s="124" t="s">
        <v>117</v>
      </c>
      <c r="B21" s="96">
        <v>0.18945000000000001</v>
      </c>
      <c r="C21" s="3" t="b">
        <v>0</v>
      </c>
      <c r="D21" s="3" t="b">
        <v>0</v>
      </c>
      <c r="E21" s="3" t="b">
        <v>0</v>
      </c>
      <c r="F21" s="3" t="b">
        <v>0</v>
      </c>
      <c r="G21" s="3" t="b">
        <v>0</v>
      </c>
      <c r="H21" s="3" t="b">
        <v>0</v>
      </c>
      <c r="I21" s="3" t="b">
        <v>0</v>
      </c>
      <c r="J21" s="3" t="b">
        <v>0</v>
      </c>
      <c r="K21" s="3" t="b">
        <v>0</v>
      </c>
      <c r="L21" s="3" t="b">
        <v>0</v>
      </c>
      <c r="M21" s="3" t="b">
        <v>0</v>
      </c>
      <c r="N21" s="3" t="b">
        <v>0</v>
      </c>
      <c r="O21" s="3" t="b">
        <v>0</v>
      </c>
      <c r="P21" s="3" t="b">
        <v>0</v>
      </c>
      <c r="Q21" s="3" t="b">
        <v>0</v>
      </c>
      <c r="R21" s="3" t="b">
        <v>0</v>
      </c>
      <c r="S21" s="96">
        <v>0.32854</v>
      </c>
      <c r="T21" s="5">
        <f t="shared" si="2"/>
        <v>0.32854</v>
      </c>
      <c r="U21" s="3" t="b">
        <v>0</v>
      </c>
      <c r="V21" s="3" t="b">
        <v>0</v>
      </c>
    </row>
    <row r="22" spans="1:22" x14ac:dyDescent="0.2">
      <c r="A22" s="124" t="s">
        <v>118</v>
      </c>
      <c r="B22" s="3" t="b">
        <v>0</v>
      </c>
      <c r="C22" s="96">
        <v>0.28270000000000001</v>
      </c>
      <c r="D22" s="96">
        <v>0.21839</v>
      </c>
      <c r="E22" s="3" t="b">
        <v>0</v>
      </c>
      <c r="F22" s="3" t="b">
        <v>0</v>
      </c>
      <c r="G22" s="3" t="b">
        <v>0</v>
      </c>
      <c r="H22" s="3" t="b">
        <v>0</v>
      </c>
      <c r="I22" s="3" t="b">
        <v>0</v>
      </c>
      <c r="J22" s="3" t="b">
        <v>0</v>
      </c>
      <c r="K22" s="3" t="b">
        <v>0</v>
      </c>
      <c r="L22" s="3" t="b">
        <v>0</v>
      </c>
      <c r="M22" s="3" t="b">
        <v>0</v>
      </c>
      <c r="N22" s="3" t="b">
        <v>0</v>
      </c>
      <c r="O22" s="3" t="b">
        <v>0</v>
      </c>
      <c r="P22" s="3" t="b">
        <v>0</v>
      </c>
      <c r="Q22" s="96">
        <v>7.84</v>
      </c>
      <c r="R22" s="96">
        <v>1.46</v>
      </c>
      <c r="S22" s="96">
        <v>0.57399999999999995</v>
      </c>
      <c r="T22" s="5">
        <f>S22</f>
        <v>0.57399999999999995</v>
      </c>
      <c r="U22" s="3" t="b">
        <v>0</v>
      </c>
      <c r="V22" s="3" t="b">
        <v>0</v>
      </c>
    </row>
    <row r="23" spans="1:22" x14ac:dyDescent="0.2">
      <c r="A23" s="124" t="s">
        <v>119</v>
      </c>
      <c r="B23" s="3" t="b">
        <v>0</v>
      </c>
      <c r="C23" s="96">
        <v>0.24443999999999999</v>
      </c>
      <c r="D23" s="96">
        <v>0.19034999999999999</v>
      </c>
      <c r="E23" s="3" t="b">
        <v>0</v>
      </c>
      <c r="F23" s="3" t="b">
        <v>0</v>
      </c>
      <c r="G23" s="3" t="b">
        <v>0</v>
      </c>
      <c r="H23" s="3" t="b">
        <v>0</v>
      </c>
      <c r="I23" s="3" t="b">
        <v>0</v>
      </c>
      <c r="J23" s="3" t="b">
        <v>0</v>
      </c>
      <c r="K23" s="3" t="b">
        <v>0</v>
      </c>
      <c r="L23" s="3" t="b">
        <v>0</v>
      </c>
      <c r="M23" s="96">
        <v>11.5</v>
      </c>
      <c r="N23" s="3" t="b">
        <v>0</v>
      </c>
      <c r="O23" s="3" t="b">
        <v>0</v>
      </c>
      <c r="P23" s="96">
        <v>2.2599999999999998</v>
      </c>
      <c r="Q23" s="3" t="b">
        <v>0</v>
      </c>
      <c r="R23" s="3" t="b">
        <v>0</v>
      </c>
      <c r="S23" s="96">
        <v>0.76312999999999998</v>
      </c>
      <c r="T23" s="5">
        <f>S23</f>
        <v>0.76312999999999998</v>
      </c>
      <c r="U23" s="3" t="b">
        <v>0</v>
      </c>
      <c r="V23" s="3" t="b">
        <v>0</v>
      </c>
    </row>
    <row r="24" spans="1:22" x14ac:dyDescent="0.2">
      <c r="A24" s="124" t="s">
        <v>120</v>
      </c>
      <c r="B24" s="3" t="b">
        <v>0</v>
      </c>
      <c r="C24" s="3" t="b">
        <v>0</v>
      </c>
      <c r="D24" s="3" t="b">
        <v>0</v>
      </c>
      <c r="E24" s="96">
        <v>0.45040999999999998</v>
      </c>
      <c r="F24" s="3" t="b">
        <v>0</v>
      </c>
      <c r="G24" s="96">
        <v>0.19766</v>
      </c>
      <c r="H24" s="3" t="b">
        <v>0</v>
      </c>
      <c r="I24" s="96">
        <v>0.20472000000000001</v>
      </c>
      <c r="J24" s="96">
        <v>0.16644</v>
      </c>
      <c r="K24" s="3" t="b">
        <v>0</v>
      </c>
      <c r="L24" s="3" t="b">
        <v>0</v>
      </c>
      <c r="M24" s="3" t="b">
        <v>0</v>
      </c>
      <c r="N24" s="3" t="b">
        <v>0</v>
      </c>
      <c r="O24" s="3" t="b">
        <v>0</v>
      </c>
      <c r="P24" s="3" t="b">
        <v>0</v>
      </c>
      <c r="Q24" s="96">
        <v>8.02</v>
      </c>
      <c r="R24" s="96">
        <v>1.18</v>
      </c>
      <c r="S24" s="96">
        <v>0.57399999999999995</v>
      </c>
      <c r="T24" s="5">
        <f t="shared" ref="T24:T26" si="3">S24</f>
        <v>0.57399999999999995</v>
      </c>
      <c r="U24" s="3" t="b">
        <v>0</v>
      </c>
      <c r="V24" s="3" t="b">
        <v>0</v>
      </c>
    </row>
    <row r="25" spans="1:22" x14ac:dyDescent="0.2">
      <c r="A25" s="124" t="s">
        <v>121</v>
      </c>
      <c r="B25" s="3" t="b">
        <v>0</v>
      </c>
      <c r="C25" s="3" t="b">
        <v>0</v>
      </c>
      <c r="D25" s="3" t="b">
        <v>0</v>
      </c>
      <c r="E25" s="96">
        <v>0.29802000000000001</v>
      </c>
      <c r="F25" s="3" t="b">
        <v>0</v>
      </c>
      <c r="G25" s="96">
        <v>0.16173000000000001</v>
      </c>
      <c r="H25" s="3" t="b">
        <v>0</v>
      </c>
      <c r="I25" s="96">
        <v>0.16188</v>
      </c>
      <c r="J25" s="96">
        <v>0.13657</v>
      </c>
      <c r="K25" s="96">
        <v>5.33</v>
      </c>
      <c r="L25" s="3" t="b">
        <v>0</v>
      </c>
      <c r="M25" s="96">
        <v>9.7899999999999991</v>
      </c>
      <c r="N25" s="3" t="b">
        <v>0</v>
      </c>
      <c r="O25" s="3" t="b">
        <v>0</v>
      </c>
      <c r="P25" s="96">
        <v>2.19</v>
      </c>
      <c r="Q25" s="3" t="b">
        <v>0</v>
      </c>
      <c r="R25" s="3" t="b">
        <v>0</v>
      </c>
      <c r="S25" s="96">
        <v>0.76312999999999998</v>
      </c>
      <c r="T25" s="5">
        <f t="shared" si="3"/>
        <v>0.76312999999999998</v>
      </c>
      <c r="U25" s="3" t="b">
        <v>0</v>
      </c>
      <c r="V25" s="3" t="b">
        <v>0</v>
      </c>
    </row>
    <row r="26" spans="1:22" x14ac:dyDescent="0.2">
      <c r="A26" s="124" t="s">
        <v>122</v>
      </c>
      <c r="B26" s="3" t="b">
        <v>0</v>
      </c>
      <c r="C26" s="3" t="b">
        <v>0</v>
      </c>
      <c r="D26" s="3" t="b">
        <v>0</v>
      </c>
      <c r="E26" s="96">
        <v>0.27623999999999999</v>
      </c>
      <c r="F26" s="96">
        <v>0.16255</v>
      </c>
      <c r="G26" s="96">
        <v>0.1227</v>
      </c>
      <c r="H26" s="3" t="b">
        <v>0</v>
      </c>
      <c r="I26" s="96">
        <v>0.13567000000000001</v>
      </c>
      <c r="J26" s="96">
        <v>0.11797000000000001</v>
      </c>
      <c r="K26" s="96">
        <v>12.46</v>
      </c>
      <c r="L26" s="96">
        <v>2.36</v>
      </c>
      <c r="M26" s="96">
        <v>4.7699999999999996</v>
      </c>
      <c r="N26" s="3" t="b">
        <v>0</v>
      </c>
      <c r="O26" s="96">
        <v>0.52</v>
      </c>
      <c r="P26" s="96">
        <v>2.2999999999999998</v>
      </c>
      <c r="Q26" s="3" t="b">
        <v>0</v>
      </c>
      <c r="R26" s="3" t="b">
        <v>0</v>
      </c>
      <c r="S26" s="96">
        <v>2.1500300000000001</v>
      </c>
      <c r="T26" s="5">
        <f t="shared" si="3"/>
        <v>2.1500300000000001</v>
      </c>
      <c r="U26" s="3" t="b">
        <v>0</v>
      </c>
      <c r="V26" s="3" t="b">
        <v>0</v>
      </c>
    </row>
    <row r="27" spans="1:22" x14ac:dyDescent="0.2">
      <c r="A27" s="124" t="s">
        <v>123</v>
      </c>
      <c r="B27" s="3" t="b">
        <v>0</v>
      </c>
      <c r="C27" s="3" t="b">
        <v>0</v>
      </c>
      <c r="D27" s="3" t="b">
        <v>0</v>
      </c>
      <c r="E27" s="96">
        <v>0.31641000000000002</v>
      </c>
      <c r="F27" s="3" t="b">
        <v>0</v>
      </c>
      <c r="G27" s="96">
        <v>0.16211</v>
      </c>
      <c r="H27" s="3" t="b">
        <v>0</v>
      </c>
      <c r="I27" s="96">
        <v>0.17058000000000001</v>
      </c>
      <c r="J27" s="96">
        <v>0.14462</v>
      </c>
      <c r="K27" s="3" t="b">
        <v>0</v>
      </c>
      <c r="L27" s="3" t="b">
        <v>0</v>
      </c>
      <c r="M27" s="3" t="b">
        <v>0</v>
      </c>
      <c r="N27" s="3" t="b">
        <v>0</v>
      </c>
      <c r="O27" s="3" t="b">
        <v>0</v>
      </c>
      <c r="P27" s="3" t="b">
        <v>0</v>
      </c>
      <c r="Q27" s="96">
        <v>11.82</v>
      </c>
      <c r="R27" s="96">
        <v>2.11</v>
      </c>
      <c r="S27">
        <f>S24</f>
        <v>0.57399999999999995</v>
      </c>
      <c r="T27" s="5">
        <f t="shared" ref="T27:T32" si="4">S27</f>
        <v>0.57399999999999995</v>
      </c>
      <c r="U27" s="3" t="b">
        <v>0</v>
      </c>
      <c r="V27" s="3" t="b">
        <v>0</v>
      </c>
    </row>
    <row r="28" spans="1:22" x14ac:dyDescent="0.2">
      <c r="A28" s="124" t="s">
        <v>124</v>
      </c>
      <c r="B28" s="3" t="b">
        <v>0</v>
      </c>
      <c r="C28" s="3" t="b">
        <v>0</v>
      </c>
      <c r="D28" s="3" t="b">
        <v>0</v>
      </c>
      <c r="E28" s="96">
        <v>0.22184000000000001</v>
      </c>
      <c r="F28" s="3" t="b">
        <v>0</v>
      </c>
      <c r="G28" s="96">
        <v>9.5430000000000001E-2</v>
      </c>
      <c r="H28" s="3" t="b">
        <v>0</v>
      </c>
      <c r="I28" s="96">
        <v>0.11743000000000001</v>
      </c>
      <c r="J28" s="96">
        <v>8.6330000000000004E-2</v>
      </c>
      <c r="K28" s="96">
        <v>10.23</v>
      </c>
      <c r="L28" s="3" t="b">
        <v>0</v>
      </c>
      <c r="M28" s="96">
        <v>15.41</v>
      </c>
      <c r="N28" s="3" t="b">
        <v>0</v>
      </c>
      <c r="O28" s="3" t="b">
        <v>0</v>
      </c>
      <c r="P28" s="96">
        <v>5.75</v>
      </c>
      <c r="Q28" s="3" t="b">
        <v>0</v>
      </c>
      <c r="R28" s="3" t="b">
        <v>0</v>
      </c>
      <c r="S28" s="96">
        <v>1.1944600000000001</v>
      </c>
      <c r="T28" s="5">
        <f t="shared" si="4"/>
        <v>1.1944600000000001</v>
      </c>
      <c r="U28" s="3" t="b">
        <v>0</v>
      </c>
      <c r="V28" s="3" t="b">
        <v>0</v>
      </c>
    </row>
    <row r="29" spans="1:22" x14ac:dyDescent="0.2">
      <c r="A29" s="124" t="s">
        <v>125</v>
      </c>
      <c r="B29" s="3" t="b">
        <v>0</v>
      </c>
      <c r="C29" s="3" t="b">
        <v>0</v>
      </c>
      <c r="D29" s="3" t="b">
        <v>0</v>
      </c>
      <c r="E29" s="96">
        <v>0.17333000000000001</v>
      </c>
      <c r="F29" s="96">
        <v>0.11762</v>
      </c>
      <c r="G29" s="96">
        <v>9.6879999999999994E-2</v>
      </c>
      <c r="H29" s="3" t="b">
        <v>0</v>
      </c>
      <c r="I29" s="96">
        <v>0.10309</v>
      </c>
      <c r="J29" s="96">
        <v>9.3670000000000003E-2</v>
      </c>
      <c r="K29" s="96">
        <v>17.43</v>
      </c>
      <c r="L29" s="96">
        <v>3.59</v>
      </c>
      <c r="M29" s="96">
        <v>5.74</v>
      </c>
      <c r="N29" s="3" t="b">
        <v>0</v>
      </c>
      <c r="O29" s="96">
        <v>0.85</v>
      </c>
      <c r="P29" s="96">
        <v>3.58</v>
      </c>
      <c r="Q29" s="3" t="b">
        <v>0</v>
      </c>
      <c r="R29" s="3" t="b">
        <v>0</v>
      </c>
      <c r="S29" s="96">
        <v>5.3087099999999996</v>
      </c>
      <c r="T29" s="5">
        <f t="shared" si="4"/>
        <v>5.3087099999999996</v>
      </c>
      <c r="U29" s="3" t="b">
        <v>0</v>
      </c>
      <c r="V29" s="3" t="b">
        <v>0</v>
      </c>
    </row>
    <row r="30" spans="1:22" x14ac:dyDescent="0.2">
      <c r="A30" s="124" t="s">
        <v>126</v>
      </c>
      <c r="B30" s="3" t="b">
        <v>0</v>
      </c>
      <c r="C30" s="3" t="b">
        <v>0</v>
      </c>
      <c r="D30" s="3" t="b">
        <v>0</v>
      </c>
      <c r="E30" s="96">
        <v>0.54357999999999995</v>
      </c>
      <c r="F30" s="3" t="b">
        <v>0</v>
      </c>
      <c r="G30" s="96">
        <v>0.18776000000000001</v>
      </c>
      <c r="H30" s="3" t="b">
        <v>0</v>
      </c>
      <c r="I30" s="96">
        <v>0.19216</v>
      </c>
      <c r="J30" s="96">
        <v>0.15834999999999999</v>
      </c>
      <c r="K30" s="3" t="b">
        <v>0</v>
      </c>
      <c r="L30" s="3" t="b">
        <v>0</v>
      </c>
      <c r="M30" s="3" t="b">
        <v>0</v>
      </c>
      <c r="N30" s="3" t="b">
        <v>0</v>
      </c>
      <c r="O30" s="3" t="b">
        <v>0</v>
      </c>
      <c r="P30" s="3" t="b">
        <v>0</v>
      </c>
      <c r="Q30" s="96">
        <v>6.99</v>
      </c>
      <c r="R30" s="96">
        <v>1.1200000000000001</v>
      </c>
      <c r="S30">
        <f>S24</f>
        <v>0.57399999999999995</v>
      </c>
      <c r="T30" s="5">
        <f t="shared" si="4"/>
        <v>0.57399999999999995</v>
      </c>
      <c r="U30" s="3" t="b">
        <v>0</v>
      </c>
      <c r="V30" s="3" t="b">
        <v>0</v>
      </c>
    </row>
    <row r="31" spans="1:22" x14ac:dyDescent="0.2">
      <c r="A31" s="124" t="s">
        <v>127</v>
      </c>
      <c r="B31" s="3" t="b">
        <v>0</v>
      </c>
      <c r="C31" s="3" t="b">
        <v>0</v>
      </c>
      <c r="D31" s="3" t="b">
        <v>0</v>
      </c>
      <c r="E31" s="96">
        <v>0.49019000000000001</v>
      </c>
      <c r="F31" s="3" t="b">
        <v>0</v>
      </c>
      <c r="G31" s="96">
        <v>0.17791999999999999</v>
      </c>
      <c r="H31" s="3" t="b">
        <v>0</v>
      </c>
      <c r="I31" s="96">
        <v>0.16689000000000001</v>
      </c>
      <c r="J31" s="96">
        <v>0.13836999999999999</v>
      </c>
      <c r="K31" s="96">
        <v>3.84</v>
      </c>
      <c r="L31" s="3" t="b">
        <v>0</v>
      </c>
      <c r="M31" s="96">
        <v>9.51</v>
      </c>
      <c r="N31" s="3" t="b">
        <v>0</v>
      </c>
      <c r="O31" s="3" t="b">
        <v>0</v>
      </c>
      <c r="P31" s="96">
        <v>1.86</v>
      </c>
      <c r="Q31" s="3" t="b">
        <v>0</v>
      </c>
      <c r="R31" s="3" t="b">
        <v>0</v>
      </c>
      <c r="S31">
        <f>S25</f>
        <v>0.76312999999999998</v>
      </c>
      <c r="T31" s="5">
        <f t="shared" si="4"/>
        <v>0.76312999999999998</v>
      </c>
      <c r="U31" s="3" t="b">
        <v>0</v>
      </c>
      <c r="V31" s="3" t="b">
        <v>0</v>
      </c>
    </row>
    <row r="32" spans="1:22" x14ac:dyDescent="0.2">
      <c r="A32" s="124" t="s">
        <v>128</v>
      </c>
      <c r="B32" s="3" t="b">
        <v>0</v>
      </c>
      <c r="C32" s="3" t="b">
        <v>0</v>
      </c>
      <c r="D32" s="3" t="b">
        <v>0</v>
      </c>
      <c r="E32" s="96">
        <v>0.50573000000000001</v>
      </c>
      <c r="F32" s="3" t="b">
        <v>0</v>
      </c>
      <c r="G32" s="96">
        <v>0.18434</v>
      </c>
      <c r="H32" s="3" t="b">
        <v>0</v>
      </c>
      <c r="I32" s="96">
        <v>0.19314000000000001</v>
      </c>
      <c r="J32" s="96">
        <v>0.15867000000000001</v>
      </c>
      <c r="K32" s="3" t="b">
        <v>0</v>
      </c>
      <c r="L32" s="3" t="b">
        <v>0</v>
      </c>
      <c r="M32" s="3" t="b">
        <v>0</v>
      </c>
      <c r="N32" s="3" t="b">
        <v>0</v>
      </c>
      <c r="O32" s="3" t="b">
        <v>0</v>
      </c>
      <c r="P32" s="3" t="b">
        <v>0</v>
      </c>
      <c r="Q32" s="96">
        <v>7.02</v>
      </c>
      <c r="R32" s="96">
        <v>1.1599999999999999</v>
      </c>
      <c r="S32">
        <f>S30</f>
        <v>0.57399999999999995</v>
      </c>
      <c r="T32" s="5">
        <f t="shared" si="4"/>
        <v>0.57399999999999995</v>
      </c>
      <c r="U32" s="3" t="b">
        <v>0</v>
      </c>
      <c r="V32" s="3" t="b">
        <v>0</v>
      </c>
    </row>
    <row r="33" spans="1:22" x14ac:dyDescent="0.2">
      <c r="A33" s="124" t="s">
        <v>129</v>
      </c>
      <c r="B33" s="3" t="b">
        <v>0</v>
      </c>
      <c r="C33" s="3" t="b">
        <v>0</v>
      </c>
      <c r="D33" s="3" t="b">
        <v>0</v>
      </c>
      <c r="E33" s="96">
        <v>0.45343</v>
      </c>
      <c r="F33" s="3" t="b">
        <v>0</v>
      </c>
      <c r="G33" s="96">
        <v>0.17299999999999999</v>
      </c>
      <c r="H33" s="3" t="b">
        <v>0</v>
      </c>
      <c r="I33" s="96">
        <v>0.16436999999999999</v>
      </c>
      <c r="J33" s="96">
        <v>0.13677</v>
      </c>
      <c r="K33" s="96">
        <v>3.83</v>
      </c>
      <c r="L33" s="3" t="b">
        <v>0</v>
      </c>
      <c r="M33" s="96">
        <v>9.5500000000000007</v>
      </c>
      <c r="N33" s="3" t="b">
        <v>0</v>
      </c>
      <c r="O33" s="3" t="b">
        <v>0</v>
      </c>
      <c r="P33" s="96">
        <v>1.84</v>
      </c>
      <c r="Q33" s="3" t="b">
        <v>0</v>
      </c>
      <c r="R33" s="3" t="b">
        <v>0</v>
      </c>
      <c r="S33">
        <f>S31</f>
        <v>0.76312999999999998</v>
      </c>
      <c r="T33" s="5">
        <f>T31</f>
        <v>0.76312999999999998</v>
      </c>
      <c r="U33" s="3" t="b">
        <v>0</v>
      </c>
      <c r="V33" s="3" t="b">
        <v>0</v>
      </c>
    </row>
    <row r="34" spans="1:22" x14ac:dyDescent="0.2">
      <c r="B34" s="3"/>
      <c r="E34" s="3"/>
      <c r="F34" s="3"/>
      <c r="G34" s="3"/>
      <c r="H34" s="3"/>
      <c r="I34" s="3"/>
      <c r="J34" s="3"/>
      <c r="K34" s="3"/>
      <c r="L34" s="3"/>
      <c r="M34" s="3"/>
      <c r="N34" s="3"/>
      <c r="O34" s="3"/>
      <c r="P34" s="3"/>
      <c r="Q34" s="3"/>
      <c r="R34" s="3"/>
      <c r="U34" s="3"/>
      <c r="V34" s="3"/>
    </row>
    <row r="37" spans="1:22" x14ac:dyDescent="0.2">
      <c r="A37" s="48" t="s">
        <v>17</v>
      </c>
      <c r="C37" t="s">
        <v>3</v>
      </c>
      <c r="E37" t="s">
        <v>4</v>
      </c>
      <c r="K37" t="s">
        <v>11</v>
      </c>
    </row>
    <row r="38" spans="1:22" x14ac:dyDescent="0.2">
      <c r="A38" s="48" t="s">
        <v>0</v>
      </c>
      <c r="B38" t="s">
        <v>15</v>
      </c>
      <c r="C38" t="s">
        <v>1</v>
      </c>
      <c r="D38" t="s">
        <v>2</v>
      </c>
      <c r="E38" t="s">
        <v>5</v>
      </c>
      <c r="F38" t="s">
        <v>6</v>
      </c>
      <c r="G38" t="s">
        <v>7</v>
      </c>
      <c r="H38" t="s">
        <v>8</v>
      </c>
      <c r="I38" t="s">
        <v>9</v>
      </c>
      <c r="J38" t="s">
        <v>10</v>
      </c>
      <c r="K38" t="s">
        <v>5</v>
      </c>
      <c r="L38" t="s">
        <v>12</v>
      </c>
      <c r="M38" t="s">
        <v>13</v>
      </c>
      <c r="N38" t="s">
        <v>8</v>
      </c>
      <c r="O38" t="s">
        <v>9</v>
      </c>
      <c r="P38" t="s">
        <v>14</v>
      </c>
      <c r="Q38" t="s">
        <v>134</v>
      </c>
      <c r="R38" t="s">
        <v>133</v>
      </c>
    </row>
    <row r="39" spans="1:22" x14ac:dyDescent="0.2">
      <c r="A39" s="124" t="str">
        <f t="shared" ref="A39:A45" si="5">A3</f>
        <v>A-1-A</v>
      </c>
      <c r="B39" s="3" t="b">
        <v>0</v>
      </c>
      <c r="C39" s="123">
        <v>0.12570000000000001</v>
      </c>
      <c r="D39" s="123">
        <v>8.6480000000000001E-2</v>
      </c>
      <c r="E39" s="3" t="b">
        <v>0</v>
      </c>
      <c r="F39" s="3" t="b">
        <v>0</v>
      </c>
      <c r="G39" s="3" t="b">
        <v>0</v>
      </c>
      <c r="H39" s="3" t="b">
        <v>0</v>
      </c>
      <c r="I39" s="3" t="b">
        <v>0</v>
      </c>
      <c r="J39" s="3" t="b">
        <v>0</v>
      </c>
      <c r="K39" s="3" t="b">
        <v>0</v>
      </c>
      <c r="L39" s="3" t="b">
        <v>0</v>
      </c>
      <c r="M39" s="3" t="b">
        <v>0</v>
      </c>
      <c r="N39" s="3" t="b">
        <v>0</v>
      </c>
      <c r="O39" s="3" t="b">
        <v>0</v>
      </c>
      <c r="P39" s="3" t="b">
        <v>0</v>
      </c>
      <c r="Q39" s="3" t="b">
        <v>0</v>
      </c>
      <c r="R39" s="3" t="b">
        <v>0</v>
      </c>
    </row>
    <row r="40" spans="1:22" x14ac:dyDescent="0.2">
      <c r="A40" s="124" t="str">
        <f t="shared" si="5"/>
        <v>A-1-B (TOU)</v>
      </c>
      <c r="B40" s="3" t="b">
        <v>0</v>
      </c>
      <c r="C40" s="3" t="b">
        <v>0</v>
      </c>
      <c r="D40" s="3" t="b">
        <v>0</v>
      </c>
      <c r="E40" s="123">
        <v>0.13983999999999999</v>
      </c>
      <c r="F40" s="123">
        <v>0.11619</v>
      </c>
      <c r="G40" s="123">
        <v>8.8840000000000002E-2</v>
      </c>
      <c r="H40" s="3" t="b">
        <v>0</v>
      </c>
      <c r="I40" s="123">
        <v>0.11600000000000001</v>
      </c>
      <c r="J40" s="123">
        <v>9.5079999999999998E-2</v>
      </c>
      <c r="K40" s="3" t="b">
        <v>0</v>
      </c>
      <c r="L40" s="3" t="b">
        <v>0</v>
      </c>
      <c r="M40" s="3" t="b">
        <v>0</v>
      </c>
      <c r="N40" s="3" t="b">
        <v>0</v>
      </c>
      <c r="O40" s="3" t="b">
        <v>0</v>
      </c>
      <c r="P40" s="3" t="b">
        <v>0</v>
      </c>
      <c r="Q40" s="3" t="b">
        <v>0</v>
      </c>
      <c r="R40" s="3" t="b">
        <v>0</v>
      </c>
    </row>
    <row r="41" spans="1:22" x14ac:dyDescent="0.2">
      <c r="A41" s="124" t="str">
        <f t="shared" si="5"/>
        <v>A6</v>
      </c>
      <c r="B41" s="3" t="b">
        <v>0</v>
      </c>
      <c r="C41" s="3" t="b">
        <v>0</v>
      </c>
      <c r="D41" s="3" t="b">
        <v>0</v>
      </c>
      <c r="E41" s="123">
        <v>0.37744</v>
      </c>
      <c r="F41" s="123">
        <v>0.13786000000000001</v>
      </c>
      <c r="G41" s="123">
        <v>7.9570000000000002E-2</v>
      </c>
      <c r="H41" s="3" t="b">
        <v>0</v>
      </c>
      <c r="I41" s="123">
        <v>0.10503</v>
      </c>
      <c r="J41" s="123">
        <v>8.7540000000000007E-2</v>
      </c>
      <c r="K41" s="3" t="b">
        <v>0</v>
      </c>
      <c r="L41" s="3" t="b">
        <v>0</v>
      </c>
      <c r="M41" s="3" t="b">
        <v>0</v>
      </c>
      <c r="N41" s="3" t="b">
        <v>0</v>
      </c>
      <c r="O41" s="3" t="b">
        <v>0</v>
      </c>
      <c r="P41" s="3" t="b">
        <v>0</v>
      </c>
      <c r="Q41" s="3" t="b">
        <v>0</v>
      </c>
      <c r="R41" s="3" t="b">
        <v>0</v>
      </c>
    </row>
    <row r="42" spans="1:22" x14ac:dyDescent="0.2">
      <c r="A42" s="124" t="str">
        <f t="shared" si="5"/>
        <v>A-10-A</v>
      </c>
      <c r="B42" s="3" t="b">
        <v>0</v>
      </c>
      <c r="C42" s="123">
        <v>0.11613999999999999</v>
      </c>
      <c r="D42" s="123">
        <v>8.9160000000000003E-2</v>
      </c>
      <c r="E42" s="3" t="b">
        <v>0</v>
      </c>
      <c r="F42" s="3" t="b">
        <v>0</v>
      </c>
      <c r="G42" s="3" t="b">
        <v>0</v>
      </c>
      <c r="H42" s="3" t="b">
        <v>0</v>
      </c>
      <c r="I42" s="3" t="b">
        <v>0</v>
      </c>
      <c r="J42" s="3" t="b">
        <v>0</v>
      </c>
      <c r="K42" s="3" t="b">
        <v>0</v>
      </c>
      <c r="L42" s="3" t="b">
        <v>0</v>
      </c>
      <c r="M42" s="96">
        <v>5.41</v>
      </c>
      <c r="N42" s="3" t="b">
        <v>0</v>
      </c>
      <c r="O42" s="3" t="b">
        <v>0</v>
      </c>
      <c r="P42" s="3" t="b">
        <v>0</v>
      </c>
      <c r="Q42" s="3" t="b">
        <v>0</v>
      </c>
      <c r="R42" s="3" t="b">
        <v>0</v>
      </c>
    </row>
    <row r="43" spans="1:22" x14ac:dyDescent="0.2">
      <c r="A43" s="124" t="str">
        <f t="shared" si="5"/>
        <v>A-10-B (TOU)</v>
      </c>
      <c r="B43" s="3" t="b">
        <v>0</v>
      </c>
      <c r="C43" s="3" t="b">
        <v>0</v>
      </c>
      <c r="D43" s="3" t="b">
        <v>0</v>
      </c>
      <c r="E43" s="123">
        <v>0.17002</v>
      </c>
      <c r="F43" s="123">
        <v>0.11489000000000001</v>
      </c>
      <c r="G43" s="123">
        <v>8.6819999999999994E-2</v>
      </c>
      <c r="H43" s="3" t="b">
        <v>0</v>
      </c>
      <c r="I43" s="123">
        <v>9.8949999999999996E-2</v>
      </c>
      <c r="J43" s="123">
        <v>8.1879999999999994E-2</v>
      </c>
      <c r="K43" s="3" t="b">
        <v>0</v>
      </c>
      <c r="L43" s="3" t="b">
        <v>0</v>
      </c>
      <c r="M43" s="96">
        <v>5.41</v>
      </c>
      <c r="N43" s="3" t="b">
        <v>0</v>
      </c>
      <c r="O43" s="3" t="b">
        <v>0</v>
      </c>
      <c r="P43" s="3" t="b">
        <v>0</v>
      </c>
      <c r="Q43" s="3" t="b">
        <v>0</v>
      </c>
      <c r="R43" s="3" t="b">
        <v>0</v>
      </c>
    </row>
    <row r="44" spans="1:22" x14ac:dyDescent="0.2">
      <c r="A44" s="124" t="str">
        <f t="shared" si="5"/>
        <v>E-19-S</v>
      </c>
      <c r="B44" s="3" t="b">
        <v>0</v>
      </c>
      <c r="C44" s="3" t="b">
        <v>0</v>
      </c>
      <c r="D44" s="3" t="b">
        <v>0</v>
      </c>
      <c r="E44" s="96">
        <v>0.13766</v>
      </c>
      <c r="F44" s="127">
        <v>9.3240000000000003E-2</v>
      </c>
      <c r="G44" s="96">
        <v>6.3820000000000002E-2</v>
      </c>
      <c r="H44" s="3" t="b">
        <v>0</v>
      </c>
      <c r="I44" s="96">
        <v>8.7150000000000005E-2</v>
      </c>
      <c r="J44" s="96">
        <v>7.1120000000000003E-2</v>
      </c>
      <c r="K44" s="96">
        <v>13.86</v>
      </c>
      <c r="L44" s="96">
        <v>3.42</v>
      </c>
      <c r="M44" s="3" t="b">
        <v>0</v>
      </c>
      <c r="N44" s="3" t="b">
        <v>0</v>
      </c>
      <c r="O44" s="3" t="b">
        <v>0</v>
      </c>
      <c r="P44" s="3" t="b">
        <v>0</v>
      </c>
      <c r="Q44" s="3" t="b">
        <v>0</v>
      </c>
      <c r="R44" s="3" t="b">
        <v>0</v>
      </c>
    </row>
    <row r="45" spans="1:22" x14ac:dyDescent="0.2">
      <c r="A45" s="124" t="str">
        <f t="shared" si="5"/>
        <v>E-19-P</v>
      </c>
      <c r="B45" s="3" t="b">
        <v>0</v>
      </c>
      <c r="C45" s="3" t="b">
        <v>0</v>
      </c>
      <c r="D45" s="3" t="b">
        <v>0</v>
      </c>
      <c r="E45" s="96">
        <v>0.12751000000000001</v>
      </c>
      <c r="F45" s="127">
        <v>8.5459999999999994E-2</v>
      </c>
      <c r="G45" s="96">
        <v>5.8430000000000003E-2</v>
      </c>
      <c r="H45" s="3" t="b">
        <v>0</v>
      </c>
      <c r="I45" s="96">
        <v>7.9780000000000004E-2</v>
      </c>
      <c r="J45" s="96">
        <v>6.5110000000000001E-2</v>
      </c>
      <c r="K45" s="96">
        <v>12.37</v>
      </c>
      <c r="L45" s="96">
        <v>3.01</v>
      </c>
      <c r="M45" s="3" t="b">
        <v>0</v>
      </c>
      <c r="N45" s="3" t="b">
        <v>0</v>
      </c>
      <c r="O45" s="3" t="b">
        <v>0</v>
      </c>
      <c r="P45" s="3" t="b">
        <v>0</v>
      </c>
      <c r="Q45" s="3" t="b">
        <v>0</v>
      </c>
      <c r="R45" s="3" t="b">
        <v>0</v>
      </c>
    </row>
    <row r="46" spans="1:22" x14ac:dyDescent="0.2">
      <c r="A46" s="124" t="str">
        <f t="shared" ref="A46:A49" si="6">A10</f>
        <v>E-19-T</v>
      </c>
      <c r="B46" s="3" t="b">
        <v>0</v>
      </c>
      <c r="C46" s="3" t="b">
        <v>0</v>
      </c>
      <c r="D46" s="3" t="b">
        <v>0</v>
      </c>
      <c r="E46" s="96">
        <v>9.0959999999999999E-2</v>
      </c>
      <c r="F46" s="127">
        <v>7.6689999999999994E-2</v>
      </c>
      <c r="G46" s="96">
        <v>5.7799999999999997E-2</v>
      </c>
      <c r="H46" s="3" t="b">
        <v>0</v>
      </c>
      <c r="I46" s="127">
        <v>7.893E-2</v>
      </c>
      <c r="J46" s="127">
        <v>6.4420000000000005E-2</v>
      </c>
      <c r="K46" s="96">
        <v>14.06</v>
      </c>
      <c r="L46" s="96">
        <v>3.53</v>
      </c>
      <c r="M46" s="3" t="b">
        <v>0</v>
      </c>
      <c r="N46" s="3" t="b">
        <v>0</v>
      </c>
      <c r="O46" s="3" t="b">
        <v>0</v>
      </c>
      <c r="P46" s="3" t="b">
        <v>0</v>
      </c>
      <c r="Q46" s="3" t="b">
        <v>0</v>
      </c>
      <c r="R46" s="3" t="b">
        <v>0</v>
      </c>
    </row>
    <row r="47" spans="1:22" x14ac:dyDescent="0.2">
      <c r="A47" s="124" t="str">
        <f t="shared" si="6"/>
        <v>E-19-R-S</v>
      </c>
      <c r="B47" s="3" t="b">
        <v>0</v>
      </c>
      <c r="C47" s="3" t="b">
        <v>0</v>
      </c>
      <c r="D47" s="3" t="b">
        <v>0</v>
      </c>
      <c r="E47" s="127">
        <v>0.29098000000000002</v>
      </c>
      <c r="F47" s="127">
        <v>0.12891</v>
      </c>
      <c r="G47" s="127">
        <v>6.3820000000000002E-2</v>
      </c>
      <c r="H47" s="3" t="b">
        <v>0</v>
      </c>
      <c r="I47" s="127">
        <v>8.7150000000000005E-2</v>
      </c>
      <c r="J47" s="127">
        <v>7.1120000000000003E-2</v>
      </c>
      <c r="K47" s="3" t="b">
        <v>0</v>
      </c>
      <c r="L47" s="3" t="b">
        <v>0</v>
      </c>
      <c r="M47" s="3" t="b">
        <v>0</v>
      </c>
      <c r="N47" s="3" t="b">
        <v>0</v>
      </c>
      <c r="O47" s="3" t="b">
        <v>0</v>
      </c>
      <c r="P47" s="3" t="b">
        <v>0</v>
      </c>
      <c r="Q47" s="3" t="b">
        <v>0</v>
      </c>
      <c r="R47" s="3" t="b">
        <v>0</v>
      </c>
    </row>
    <row r="48" spans="1:22" x14ac:dyDescent="0.2">
      <c r="A48" s="124" t="str">
        <f t="shared" si="6"/>
        <v>E-19-R-P</v>
      </c>
      <c r="B48" s="3" t="b">
        <v>0</v>
      </c>
      <c r="C48" s="3" t="b">
        <v>0</v>
      </c>
      <c r="D48" s="3" t="b">
        <v>0</v>
      </c>
      <c r="E48" s="127">
        <v>0.27795999999999998</v>
      </c>
      <c r="F48" s="127">
        <v>0.11992999999999999</v>
      </c>
      <c r="G48" s="127">
        <v>5.8430000000000003E-2</v>
      </c>
      <c r="H48" s="3" t="b">
        <v>0</v>
      </c>
      <c r="I48" s="127">
        <v>7.9780000000000004E-2</v>
      </c>
      <c r="J48" s="127">
        <v>6.5110000000000001E-2</v>
      </c>
      <c r="K48" s="3" t="b">
        <v>0</v>
      </c>
      <c r="L48" s="3" t="b">
        <v>0</v>
      </c>
      <c r="M48" s="3" t="b">
        <v>0</v>
      </c>
      <c r="N48" s="3" t="b">
        <v>0</v>
      </c>
      <c r="O48" s="3" t="b">
        <v>0</v>
      </c>
      <c r="P48" s="3" t="b">
        <v>0</v>
      </c>
      <c r="Q48" s="3" t="b">
        <v>0</v>
      </c>
      <c r="R48" s="3" t="b">
        <v>0</v>
      </c>
    </row>
    <row r="49" spans="1:18" x14ac:dyDescent="0.2">
      <c r="A49" s="124" t="str">
        <f t="shared" si="6"/>
        <v>E-19-R-T</v>
      </c>
      <c r="B49" s="3" t="b">
        <v>0</v>
      </c>
      <c r="C49" s="3" t="b">
        <v>0</v>
      </c>
      <c r="D49" s="3" t="b">
        <v>0</v>
      </c>
      <c r="E49" s="127">
        <v>0.27685999999999999</v>
      </c>
      <c r="F49" s="127">
        <v>0.12053999999999999</v>
      </c>
      <c r="G49" s="127">
        <v>5.7799999999999997E-2</v>
      </c>
      <c r="H49" s="3" t="b">
        <v>0</v>
      </c>
      <c r="I49" s="127">
        <v>7.893E-2</v>
      </c>
      <c r="J49" s="127">
        <v>6.4420000000000005E-2</v>
      </c>
      <c r="K49" s="3" t="b">
        <v>0</v>
      </c>
      <c r="L49" s="3" t="b">
        <v>0</v>
      </c>
      <c r="M49" s="3" t="b">
        <v>0</v>
      </c>
      <c r="N49" s="3" t="b">
        <v>0</v>
      </c>
      <c r="O49" s="3" t="b">
        <v>0</v>
      </c>
      <c r="P49" s="3" t="b">
        <v>0</v>
      </c>
      <c r="Q49" s="3" t="b">
        <v>0</v>
      </c>
      <c r="R49" s="3" t="b">
        <v>0</v>
      </c>
    </row>
    <row r="50" spans="1:18" x14ac:dyDescent="0.2">
      <c r="A50" s="124" t="str">
        <f t="shared" ref="A50:A69" si="7">A14</f>
        <v>E-20-S</v>
      </c>
      <c r="B50" s="3" t="b">
        <v>0</v>
      </c>
      <c r="C50" s="3" t="b">
        <v>0</v>
      </c>
      <c r="D50" s="3" t="b">
        <v>0</v>
      </c>
      <c r="E50" s="123">
        <v>0.12784000000000001</v>
      </c>
      <c r="F50" s="123">
        <v>8.7470000000000006E-2</v>
      </c>
      <c r="G50" s="123">
        <v>5.9760000000000001E-2</v>
      </c>
      <c r="H50" s="3" t="b">
        <v>0</v>
      </c>
      <c r="I50" s="123">
        <v>8.1610000000000002E-2</v>
      </c>
      <c r="J50" s="123">
        <v>6.6589999999999996E-2</v>
      </c>
      <c r="K50" s="96">
        <v>13.41</v>
      </c>
      <c r="L50" s="96">
        <v>3.31</v>
      </c>
      <c r="M50" s="3" t="b">
        <v>0</v>
      </c>
      <c r="N50" s="3" t="b">
        <v>0</v>
      </c>
      <c r="O50" s="3" t="b">
        <v>0</v>
      </c>
      <c r="P50" s="3" t="b">
        <v>0</v>
      </c>
      <c r="Q50" s="3" t="b">
        <v>0</v>
      </c>
      <c r="R50" s="3" t="b">
        <v>0</v>
      </c>
    </row>
    <row r="51" spans="1:18" x14ac:dyDescent="0.2">
      <c r="A51" s="124" t="str">
        <f t="shared" si="7"/>
        <v>E-20-P</v>
      </c>
      <c r="B51" s="3" t="b">
        <v>0</v>
      </c>
      <c r="C51" s="3" t="b">
        <v>0</v>
      </c>
      <c r="D51" s="3" t="b">
        <v>0</v>
      </c>
      <c r="E51" s="123">
        <v>0.13073000000000001</v>
      </c>
      <c r="F51" s="123">
        <v>8.6230000000000001E-2</v>
      </c>
      <c r="G51" s="123">
        <v>5.8860000000000003E-2</v>
      </c>
      <c r="H51" s="3" t="b">
        <v>0</v>
      </c>
      <c r="I51" s="123">
        <v>8.0369999999999997E-2</v>
      </c>
      <c r="J51" s="123">
        <v>6.5579999999999999E-2</v>
      </c>
      <c r="K51" s="125">
        <v>14.72</v>
      </c>
      <c r="L51" s="96">
        <v>3.48</v>
      </c>
      <c r="M51" s="3" t="b">
        <v>0</v>
      </c>
      <c r="N51" s="3" t="b">
        <v>0</v>
      </c>
      <c r="O51" s="3" t="b">
        <v>0</v>
      </c>
      <c r="P51" s="3" t="b">
        <v>0</v>
      </c>
      <c r="Q51" s="3" t="b">
        <v>0</v>
      </c>
      <c r="R51" s="3" t="b">
        <v>0</v>
      </c>
    </row>
    <row r="52" spans="1:18" x14ac:dyDescent="0.2">
      <c r="A52" s="124" t="str">
        <f t="shared" si="7"/>
        <v>E-20-T</v>
      </c>
      <c r="B52" s="3" t="b">
        <v>0</v>
      </c>
      <c r="C52" s="3" t="b">
        <v>0</v>
      </c>
      <c r="D52" s="3" t="b">
        <v>0</v>
      </c>
      <c r="E52" s="123">
        <v>8.5500000000000007E-2</v>
      </c>
      <c r="F52" s="123">
        <v>7.2090000000000001E-2</v>
      </c>
      <c r="G52" s="123">
        <v>5.4339999999999999E-2</v>
      </c>
      <c r="H52" s="3" t="b">
        <v>0</v>
      </c>
      <c r="I52" s="123">
        <v>7.4200000000000002E-2</v>
      </c>
      <c r="J52" s="123">
        <v>6.0560000000000003E-2</v>
      </c>
      <c r="K52" s="125">
        <v>17.420000000000002</v>
      </c>
      <c r="L52" s="96">
        <v>4.1500000000000004</v>
      </c>
      <c r="M52" s="3" t="b">
        <v>0</v>
      </c>
      <c r="N52" s="3" t="b">
        <v>0</v>
      </c>
      <c r="O52" s="3" t="b">
        <v>0</v>
      </c>
      <c r="P52" s="3" t="b">
        <v>0</v>
      </c>
      <c r="Q52" s="3" t="b">
        <v>0</v>
      </c>
      <c r="R52" s="3" t="b">
        <v>0</v>
      </c>
    </row>
    <row r="53" spans="1:18" x14ac:dyDescent="0.2">
      <c r="A53" s="124" t="str">
        <f t="shared" si="7"/>
        <v>E-20-R-S</v>
      </c>
      <c r="B53" s="3" t="b">
        <v>0</v>
      </c>
      <c r="C53" s="3" t="b">
        <v>0</v>
      </c>
      <c r="D53" s="3" t="b">
        <v>0</v>
      </c>
      <c r="E53" s="123">
        <v>0.26513999999999999</v>
      </c>
      <c r="F53" s="123">
        <v>0.12067</v>
      </c>
      <c r="G53" s="123">
        <v>5.9760000000000001E-2</v>
      </c>
      <c r="H53" s="3" t="b">
        <v>0</v>
      </c>
      <c r="I53" s="123">
        <v>8.1610000000000002E-2</v>
      </c>
      <c r="J53" s="123">
        <v>6.6589999999999996E-2</v>
      </c>
      <c r="K53" s="3" t="b">
        <v>0</v>
      </c>
      <c r="L53" s="3" t="b">
        <v>0</v>
      </c>
      <c r="M53" s="3" t="b">
        <v>0</v>
      </c>
      <c r="N53" s="3" t="b">
        <v>0</v>
      </c>
      <c r="O53" s="3" t="b">
        <v>0</v>
      </c>
      <c r="P53" s="3" t="b">
        <v>0</v>
      </c>
      <c r="Q53" s="3" t="b">
        <v>0</v>
      </c>
      <c r="R53" s="3" t="b">
        <v>0</v>
      </c>
    </row>
    <row r="54" spans="1:18" x14ac:dyDescent="0.2">
      <c r="A54" s="124" t="str">
        <f t="shared" si="7"/>
        <v>E-20-R-P</v>
      </c>
      <c r="B54" s="3" t="b">
        <v>0</v>
      </c>
      <c r="C54" s="3" t="b">
        <v>0</v>
      </c>
      <c r="D54" s="3" t="b">
        <v>0</v>
      </c>
      <c r="E54" s="123">
        <v>0.28228999999999999</v>
      </c>
      <c r="F54" s="123">
        <v>0.11956</v>
      </c>
      <c r="G54" s="123">
        <v>5.8860000000000003E-2</v>
      </c>
      <c r="H54" s="3" t="b">
        <v>0</v>
      </c>
      <c r="I54" s="123">
        <v>8.0369999999999997E-2</v>
      </c>
      <c r="J54" s="123">
        <v>6.5579999999999999E-2</v>
      </c>
      <c r="K54" s="3" t="b">
        <v>0</v>
      </c>
      <c r="L54" s="3" t="b">
        <v>0</v>
      </c>
      <c r="M54" s="3" t="b">
        <v>0</v>
      </c>
      <c r="N54" s="3" t="b">
        <v>0</v>
      </c>
      <c r="O54" s="3" t="b">
        <v>0</v>
      </c>
      <c r="P54" s="3" t="b">
        <v>0</v>
      </c>
      <c r="Q54" s="3" t="b">
        <v>0</v>
      </c>
      <c r="R54" s="3" t="b">
        <v>0</v>
      </c>
    </row>
    <row r="55" spans="1:18" x14ac:dyDescent="0.2">
      <c r="A55" s="124" t="str">
        <f t="shared" si="7"/>
        <v>E-20-R-T</v>
      </c>
      <c r="B55" s="3" t="b">
        <v>0</v>
      </c>
      <c r="C55" s="3" t="b">
        <v>0</v>
      </c>
      <c r="D55" s="3" t="b">
        <v>0</v>
      </c>
      <c r="E55" s="123">
        <v>0.27361999999999997</v>
      </c>
      <c r="F55" s="123">
        <v>0.11193</v>
      </c>
      <c r="G55" s="123">
        <v>5.4339999999999999E-2</v>
      </c>
      <c r="H55" s="3" t="b">
        <v>0</v>
      </c>
      <c r="I55" s="123">
        <v>7.4200000000000002E-2</v>
      </c>
      <c r="J55" s="123">
        <v>6.0560000000000003E-2</v>
      </c>
      <c r="K55" s="3" t="b">
        <v>0</v>
      </c>
      <c r="L55" s="3" t="b">
        <v>0</v>
      </c>
      <c r="M55" s="3" t="b">
        <v>0</v>
      </c>
      <c r="N55" s="3" t="b">
        <v>0</v>
      </c>
      <c r="O55" s="3" t="b">
        <v>0</v>
      </c>
      <c r="P55" s="3" t="b">
        <v>0</v>
      </c>
      <c r="Q55" s="3" t="b">
        <v>0</v>
      </c>
      <c r="R55" s="3" t="b">
        <v>0</v>
      </c>
    </row>
    <row r="56" spans="1:18" x14ac:dyDescent="0.2">
      <c r="A56" s="124" t="str">
        <f t="shared" si="7"/>
        <v>SL</v>
      </c>
      <c r="B56" s="123">
        <v>8.7529999999999997E-2</v>
      </c>
      <c r="C56" s="3" t="b">
        <v>0</v>
      </c>
      <c r="D56" s="3" t="b">
        <v>0</v>
      </c>
      <c r="E56" s="3" t="b">
        <v>0</v>
      </c>
      <c r="F56" s="3" t="b">
        <v>0</v>
      </c>
      <c r="G56" s="3" t="b">
        <v>0</v>
      </c>
      <c r="H56" s="3" t="b">
        <v>0</v>
      </c>
      <c r="I56" s="3" t="b">
        <v>0</v>
      </c>
      <c r="J56" s="3" t="b">
        <v>0</v>
      </c>
      <c r="K56" s="3" t="b">
        <v>0</v>
      </c>
      <c r="L56" s="3" t="b">
        <v>0</v>
      </c>
      <c r="M56" s="3" t="b">
        <v>0</v>
      </c>
      <c r="N56" s="3" t="b">
        <v>0</v>
      </c>
      <c r="O56" s="3" t="b">
        <v>0</v>
      </c>
      <c r="P56" s="3" t="b">
        <v>0</v>
      </c>
      <c r="Q56" s="3" t="b">
        <v>0</v>
      </c>
      <c r="R56" s="3" t="b">
        <v>0</v>
      </c>
    </row>
    <row r="57" spans="1:18" x14ac:dyDescent="0.2">
      <c r="A57" s="124" t="str">
        <f t="shared" si="7"/>
        <v>TC-1</v>
      </c>
      <c r="B57" s="123">
        <v>9.5039999999999999E-2</v>
      </c>
      <c r="C57" s="3" t="b">
        <v>0</v>
      </c>
      <c r="D57" s="3" t="b">
        <v>0</v>
      </c>
      <c r="E57" s="3" t="b">
        <v>0</v>
      </c>
      <c r="F57" s="3" t="b">
        <v>0</v>
      </c>
      <c r="G57" s="3" t="b">
        <v>0</v>
      </c>
      <c r="H57" s="3" t="b">
        <v>0</v>
      </c>
      <c r="I57" s="3" t="b">
        <v>0</v>
      </c>
      <c r="J57" s="3" t="b">
        <v>0</v>
      </c>
      <c r="K57" s="3" t="b">
        <v>0</v>
      </c>
      <c r="L57" s="3" t="b">
        <v>0</v>
      </c>
      <c r="M57" s="3" t="b">
        <v>0</v>
      </c>
      <c r="N57" s="3" t="b">
        <v>0</v>
      </c>
      <c r="O57" s="3" t="b">
        <v>0</v>
      </c>
      <c r="P57" s="3" t="b">
        <v>0</v>
      </c>
      <c r="Q57" s="3" t="b">
        <v>0</v>
      </c>
      <c r="R57" s="3" t="b">
        <v>0</v>
      </c>
    </row>
    <row r="58" spans="1:18" x14ac:dyDescent="0.2">
      <c r="A58" s="124" t="str">
        <f t="shared" si="7"/>
        <v>AG-1A</v>
      </c>
      <c r="B58" s="3" t="b">
        <v>0</v>
      </c>
      <c r="C58" s="123">
        <v>0.10874</v>
      </c>
      <c r="D58" s="123">
        <v>8.7209999999999996E-2</v>
      </c>
      <c r="E58" s="3" t="b">
        <v>0</v>
      </c>
      <c r="F58" s="3" t="b">
        <v>0</v>
      </c>
      <c r="G58" s="3" t="b">
        <v>0</v>
      </c>
      <c r="H58" s="3" t="b">
        <v>0</v>
      </c>
      <c r="I58" s="3" t="b">
        <v>0</v>
      </c>
      <c r="J58" s="3" t="b">
        <v>0</v>
      </c>
      <c r="K58" s="3" t="b">
        <v>0</v>
      </c>
      <c r="L58" s="3" t="b">
        <v>0</v>
      </c>
      <c r="M58" s="3" t="b">
        <v>0</v>
      </c>
      <c r="N58" s="3" t="b">
        <v>0</v>
      </c>
      <c r="O58" s="3" t="b">
        <v>0</v>
      </c>
      <c r="P58" s="3" t="b">
        <v>0</v>
      </c>
      <c r="Q58" s="96">
        <v>1.49</v>
      </c>
      <c r="R58" s="3" t="b">
        <v>0</v>
      </c>
    </row>
    <row r="59" spans="1:18" x14ac:dyDescent="0.2">
      <c r="A59" s="124" t="str">
        <f t="shared" si="7"/>
        <v>AG-1B</v>
      </c>
      <c r="B59" s="3" t="b">
        <v>0</v>
      </c>
      <c r="C59" s="123">
        <v>0.11198</v>
      </c>
      <c r="D59" s="123">
        <v>8.7290000000000006E-2</v>
      </c>
      <c r="E59" s="3" t="b">
        <v>0</v>
      </c>
      <c r="F59" s="3" t="b">
        <v>0</v>
      </c>
      <c r="G59" s="3" t="b">
        <v>0</v>
      </c>
      <c r="H59" s="3" t="b">
        <v>0</v>
      </c>
      <c r="I59" s="3" t="b">
        <v>0</v>
      </c>
      <c r="J59" s="3" t="b">
        <v>0</v>
      </c>
      <c r="K59" s="3" t="b">
        <v>0</v>
      </c>
      <c r="L59" s="3" t="b">
        <v>0</v>
      </c>
      <c r="M59" s="96">
        <v>2.2400000000000002</v>
      </c>
      <c r="N59" s="3" t="b">
        <v>0</v>
      </c>
      <c r="O59" s="3" t="b">
        <v>0</v>
      </c>
      <c r="P59" s="3" t="b">
        <v>0</v>
      </c>
      <c r="Q59" s="3" t="b">
        <v>0</v>
      </c>
      <c r="R59" s="3" t="b">
        <v>0</v>
      </c>
    </row>
    <row r="60" spans="1:18" x14ac:dyDescent="0.2">
      <c r="A60" s="124" t="str">
        <f t="shared" si="7"/>
        <v>AG-4A</v>
      </c>
      <c r="B60" s="3" t="b">
        <v>0</v>
      </c>
      <c r="C60" s="3" t="b">
        <v>0</v>
      </c>
      <c r="D60" s="3" t="b">
        <v>0</v>
      </c>
      <c r="E60" s="123">
        <v>0.17399000000000001</v>
      </c>
      <c r="F60" s="3" t="b">
        <v>0</v>
      </c>
      <c r="G60" s="123">
        <v>7.5109999999999996E-2</v>
      </c>
      <c r="H60" s="3" t="b">
        <v>0</v>
      </c>
      <c r="I60" s="123">
        <v>7.9600000000000004E-2</v>
      </c>
      <c r="J60" s="123">
        <v>6.7820000000000005E-2</v>
      </c>
      <c r="K60" s="3" t="b">
        <v>0</v>
      </c>
      <c r="L60" s="3" t="b">
        <v>0</v>
      </c>
      <c r="M60" s="3" t="b">
        <v>0</v>
      </c>
      <c r="N60" s="3" t="b">
        <v>0</v>
      </c>
      <c r="O60" s="3" t="b">
        <v>0</v>
      </c>
      <c r="P60" s="3" t="b">
        <v>0</v>
      </c>
      <c r="Q60" s="96">
        <v>1.48</v>
      </c>
      <c r="R60" s="3" t="b">
        <v>0</v>
      </c>
    </row>
    <row r="61" spans="1:18" x14ac:dyDescent="0.2">
      <c r="A61" s="124" t="str">
        <f t="shared" si="7"/>
        <v>AG-4B</v>
      </c>
      <c r="B61" s="3" t="b">
        <v>0</v>
      </c>
      <c r="C61" s="3" t="b">
        <v>0</v>
      </c>
      <c r="D61" s="3" t="b">
        <v>0</v>
      </c>
      <c r="E61" s="123">
        <v>0.13325000000000001</v>
      </c>
      <c r="F61" s="3" t="b">
        <v>0</v>
      </c>
      <c r="G61" s="123">
        <v>7.7340000000000006E-2</v>
      </c>
      <c r="H61" s="3" t="b">
        <v>0</v>
      </c>
      <c r="I61" s="123">
        <v>7.5420000000000001E-2</v>
      </c>
      <c r="J61" s="123">
        <v>6.4170000000000005E-2</v>
      </c>
      <c r="K61" s="96">
        <v>2.78</v>
      </c>
      <c r="L61" s="3" t="b">
        <v>0</v>
      </c>
      <c r="M61" s="96">
        <v>2.62</v>
      </c>
      <c r="N61" s="3" t="b">
        <v>0</v>
      </c>
      <c r="O61" s="3" t="b">
        <v>0</v>
      </c>
      <c r="P61" s="3" t="b">
        <v>0</v>
      </c>
      <c r="Q61" s="3" t="b">
        <v>0</v>
      </c>
      <c r="R61" s="3" t="b">
        <v>0</v>
      </c>
    </row>
    <row r="62" spans="1:18" x14ac:dyDescent="0.2">
      <c r="A62" s="124" t="str">
        <f t="shared" si="7"/>
        <v>AG-4C</v>
      </c>
      <c r="B62" s="3" t="b">
        <v>0</v>
      </c>
      <c r="C62" s="3" t="b">
        <v>0</v>
      </c>
      <c r="D62" s="3" t="b">
        <v>0</v>
      </c>
      <c r="E62" s="123">
        <v>0.15376999999999999</v>
      </c>
      <c r="F62" s="123">
        <v>8.7050000000000002E-2</v>
      </c>
      <c r="G62" s="123">
        <v>6.2810000000000005E-2</v>
      </c>
      <c r="H62" s="3" t="b">
        <v>0</v>
      </c>
      <c r="I62" s="123">
        <v>6.9690000000000002E-2</v>
      </c>
      <c r="J62" s="123">
        <v>5.9279999999999999E-2</v>
      </c>
      <c r="K62" s="96">
        <v>6.45</v>
      </c>
      <c r="L62" s="126">
        <v>1.1000000000000001</v>
      </c>
      <c r="M62" s="3" t="b">
        <v>0</v>
      </c>
      <c r="N62" s="3" t="b">
        <v>0</v>
      </c>
      <c r="O62" s="3" t="b">
        <v>0</v>
      </c>
      <c r="P62" s="3" t="b">
        <v>0</v>
      </c>
      <c r="Q62" s="3" t="b">
        <v>0</v>
      </c>
      <c r="R62" s="3" t="b">
        <v>0</v>
      </c>
    </row>
    <row r="63" spans="1:18" x14ac:dyDescent="0.2">
      <c r="A63" s="124" t="str">
        <f t="shared" si="7"/>
        <v>AG-5A, AG-5D</v>
      </c>
      <c r="B63" s="3" t="b">
        <v>0</v>
      </c>
      <c r="C63" s="3" t="b">
        <v>0</v>
      </c>
      <c r="D63" s="3" t="b">
        <v>0</v>
      </c>
      <c r="E63" s="123">
        <v>0.16283</v>
      </c>
      <c r="F63" s="3" t="b">
        <v>0</v>
      </c>
      <c r="G63" s="123">
        <v>8.0509999999999998E-2</v>
      </c>
      <c r="H63" s="3" t="b">
        <v>0</v>
      </c>
      <c r="I63" s="123">
        <v>8.4320000000000006E-2</v>
      </c>
      <c r="J63" s="123">
        <v>7.1910000000000002E-2</v>
      </c>
      <c r="K63" s="3" t="b">
        <v>0</v>
      </c>
      <c r="L63" s="3" t="b">
        <v>0</v>
      </c>
      <c r="M63" s="3" t="b">
        <v>0</v>
      </c>
      <c r="N63" s="3" t="b">
        <v>0</v>
      </c>
      <c r="O63" s="3" t="b">
        <v>0</v>
      </c>
      <c r="P63" s="3" t="b">
        <v>0</v>
      </c>
      <c r="Q63" s="126">
        <v>4.05</v>
      </c>
      <c r="R63" s="3" t="b">
        <v>0</v>
      </c>
    </row>
    <row r="64" spans="1:18" x14ac:dyDescent="0.2">
      <c r="A64" s="124" t="str">
        <f t="shared" si="7"/>
        <v>AG-5B, AG-5E</v>
      </c>
      <c r="B64" s="3" t="b">
        <v>0</v>
      </c>
      <c r="C64" s="3" t="b">
        <v>0</v>
      </c>
      <c r="D64" s="3" t="b">
        <v>0</v>
      </c>
      <c r="E64" s="123">
        <v>0.15903999999999999</v>
      </c>
      <c r="F64" s="3" t="b">
        <v>0</v>
      </c>
      <c r="G64" s="123">
        <v>5.3469999999999997E-2</v>
      </c>
      <c r="H64" s="3" t="b">
        <v>0</v>
      </c>
      <c r="I64" s="123">
        <v>7.5469999999999995E-2</v>
      </c>
      <c r="J64" s="123">
        <v>4.437E-2</v>
      </c>
      <c r="K64" s="96">
        <v>6.1</v>
      </c>
      <c r="L64" s="3" t="b">
        <v>0</v>
      </c>
      <c r="M64" s="96">
        <v>4.87</v>
      </c>
      <c r="N64" s="3" t="b">
        <v>0</v>
      </c>
      <c r="O64" s="3" t="b">
        <v>0</v>
      </c>
      <c r="P64" s="3" t="b">
        <v>0</v>
      </c>
      <c r="Q64" s="3" t="b">
        <v>0</v>
      </c>
      <c r="R64" s="3" t="b">
        <v>0</v>
      </c>
    </row>
    <row r="65" spans="1:19" x14ac:dyDescent="0.2">
      <c r="A65" s="124" t="str">
        <f t="shared" si="7"/>
        <v>AG-5C, AG-5F</v>
      </c>
      <c r="B65" s="3" t="b">
        <v>0</v>
      </c>
      <c r="C65" s="3" t="b">
        <v>0</v>
      </c>
      <c r="D65" s="3" t="b">
        <v>0</v>
      </c>
      <c r="E65" s="123">
        <v>0.13183</v>
      </c>
      <c r="F65" s="123">
        <v>7.6119999999999993E-2</v>
      </c>
      <c r="G65" s="123">
        <v>5.5379999999999999E-2</v>
      </c>
      <c r="H65" s="3" t="b">
        <v>0</v>
      </c>
      <c r="I65" s="123">
        <v>6.1589999999999999E-2</v>
      </c>
      <c r="J65" s="123">
        <v>5.2170000000000001E-2</v>
      </c>
      <c r="K65" s="96">
        <v>11.31</v>
      </c>
      <c r="L65" s="96">
        <v>2.13</v>
      </c>
      <c r="M65" s="3" t="b">
        <v>0</v>
      </c>
      <c r="N65" s="3" t="b">
        <v>0</v>
      </c>
      <c r="O65" s="3" t="b">
        <v>0</v>
      </c>
      <c r="P65" s="3" t="b">
        <v>0</v>
      </c>
      <c r="Q65" s="3" t="b">
        <v>0</v>
      </c>
      <c r="R65" s="3" t="b">
        <v>0</v>
      </c>
    </row>
    <row r="66" spans="1:19" x14ac:dyDescent="0.2">
      <c r="A66" s="124" t="str">
        <f t="shared" si="7"/>
        <v>AG-RA</v>
      </c>
      <c r="B66" s="3" t="b">
        <v>0</v>
      </c>
      <c r="C66" s="3" t="b">
        <v>0</v>
      </c>
      <c r="D66" s="3" t="b">
        <v>0</v>
      </c>
      <c r="E66" s="123">
        <v>0.29269000000000001</v>
      </c>
      <c r="F66" s="3" t="b">
        <v>0</v>
      </c>
      <c r="G66" s="123">
        <v>7.3719999999999994E-2</v>
      </c>
      <c r="H66" s="3" t="b">
        <v>0</v>
      </c>
      <c r="I66" s="123">
        <v>8.1519999999999995E-2</v>
      </c>
      <c r="J66" s="123">
        <v>6.9389999999999993E-2</v>
      </c>
      <c r="K66" s="3" t="b">
        <v>0</v>
      </c>
      <c r="L66" s="3" t="b">
        <v>0</v>
      </c>
      <c r="M66" s="3" t="b">
        <v>0</v>
      </c>
      <c r="N66" s="3" t="b">
        <v>0</v>
      </c>
      <c r="O66" s="3" t="b">
        <v>0</v>
      </c>
      <c r="P66" s="3" t="b">
        <v>0</v>
      </c>
      <c r="Q66" s="96">
        <v>1.44</v>
      </c>
      <c r="R66" s="3" t="b">
        <v>0</v>
      </c>
    </row>
    <row r="67" spans="1:19" x14ac:dyDescent="0.2">
      <c r="A67" s="124" t="str">
        <f t="shared" si="7"/>
        <v>AG-RB</v>
      </c>
      <c r="B67" s="3" t="b">
        <v>0</v>
      </c>
      <c r="C67" s="3" t="b">
        <v>0</v>
      </c>
      <c r="D67" s="3" t="b">
        <v>0</v>
      </c>
      <c r="E67" s="123">
        <v>0.26432</v>
      </c>
      <c r="F67" s="3" t="b">
        <v>0</v>
      </c>
      <c r="G67" s="123">
        <v>7.3169999999999999E-2</v>
      </c>
      <c r="H67" s="3" t="b">
        <v>0</v>
      </c>
      <c r="I67" s="123">
        <v>6.7129999999999995E-2</v>
      </c>
      <c r="J67" s="123">
        <v>5.7169999999999999E-2</v>
      </c>
      <c r="K67" s="96">
        <v>2.39</v>
      </c>
      <c r="L67" s="3" t="b">
        <v>0</v>
      </c>
      <c r="M67" s="96">
        <v>2.13</v>
      </c>
      <c r="N67" s="3" t="b">
        <v>0</v>
      </c>
      <c r="O67" s="3" t="b">
        <v>0</v>
      </c>
      <c r="P67" s="3" t="b">
        <v>0</v>
      </c>
      <c r="Q67" s="3" t="b">
        <v>0</v>
      </c>
      <c r="R67" s="3" t="b">
        <v>0</v>
      </c>
    </row>
    <row r="68" spans="1:19" x14ac:dyDescent="0.2">
      <c r="A68" s="124" t="str">
        <f t="shared" si="7"/>
        <v>AG-VA</v>
      </c>
      <c r="B68" s="3" t="b">
        <v>0</v>
      </c>
      <c r="C68" s="3" t="b">
        <v>0</v>
      </c>
      <c r="D68" s="3" t="b">
        <v>0</v>
      </c>
      <c r="E68" s="123">
        <v>0.25609999999999999</v>
      </c>
      <c r="F68" s="3" t="b">
        <v>0</v>
      </c>
      <c r="G68" s="123">
        <v>7.0739999999999997E-2</v>
      </c>
      <c r="H68" s="3" t="b">
        <v>0</v>
      </c>
      <c r="I68" s="123">
        <v>7.9850000000000004E-2</v>
      </c>
      <c r="J68" s="123">
        <v>6.7970000000000003E-2</v>
      </c>
      <c r="K68" s="3" t="b">
        <v>0</v>
      </c>
      <c r="L68" s="3" t="b">
        <v>0</v>
      </c>
      <c r="M68" s="3" t="b">
        <v>0</v>
      </c>
      <c r="N68" s="3" t="b">
        <v>0</v>
      </c>
      <c r="O68" s="3" t="b">
        <v>0</v>
      </c>
      <c r="P68" s="3" t="b">
        <v>0</v>
      </c>
      <c r="Q68" s="96">
        <v>1.5</v>
      </c>
      <c r="R68" s="3" t="b">
        <v>0</v>
      </c>
    </row>
    <row r="69" spans="1:19" x14ac:dyDescent="0.2">
      <c r="A69" s="124" t="str">
        <f t="shared" si="7"/>
        <v>AG-VB</v>
      </c>
      <c r="B69" s="3" t="b">
        <v>0</v>
      </c>
      <c r="C69" s="3" t="b">
        <v>0</v>
      </c>
      <c r="D69" s="3" t="b">
        <v>0</v>
      </c>
      <c r="E69" s="123">
        <v>0.23649000000000001</v>
      </c>
      <c r="F69" s="3" t="b">
        <v>0</v>
      </c>
      <c r="G69" s="123">
        <v>7.1179999999999993E-2</v>
      </c>
      <c r="H69" s="3" t="b">
        <v>0</v>
      </c>
      <c r="I69" s="123">
        <v>6.7379999999999995E-2</v>
      </c>
      <c r="J69" s="123">
        <v>5.7369999999999997E-2</v>
      </c>
      <c r="K69" s="96">
        <v>2.5099999999999998</v>
      </c>
      <c r="L69" s="3" t="b">
        <v>0</v>
      </c>
      <c r="M69" s="96">
        <v>1.95</v>
      </c>
      <c r="N69" s="3" t="b">
        <v>0</v>
      </c>
      <c r="O69" s="3" t="b">
        <v>0</v>
      </c>
      <c r="P69" s="3" t="b">
        <v>0</v>
      </c>
      <c r="Q69" s="3" t="b">
        <v>0</v>
      </c>
      <c r="R69" s="3" t="b">
        <v>0</v>
      </c>
    </row>
    <row r="72" spans="1:19" x14ac:dyDescent="0.2">
      <c r="A72" s="48" t="s">
        <v>154</v>
      </c>
      <c r="C72" t="s">
        <v>3</v>
      </c>
      <c r="E72" t="s">
        <v>4</v>
      </c>
      <c r="K72" t="s">
        <v>11</v>
      </c>
    </row>
    <row r="73" spans="1:19" x14ac:dyDescent="0.2">
      <c r="A73" s="48" t="s">
        <v>0</v>
      </c>
      <c r="B73" t="s">
        <v>15</v>
      </c>
      <c r="C73" t="s">
        <v>1</v>
      </c>
      <c r="D73" t="s">
        <v>2</v>
      </c>
      <c r="E73" t="s">
        <v>5</v>
      </c>
      <c r="F73" t="s">
        <v>6</v>
      </c>
      <c r="G73" t="s">
        <v>7</v>
      </c>
      <c r="H73" t="s">
        <v>8</v>
      </c>
      <c r="I73" t="s">
        <v>9</v>
      </c>
      <c r="J73" t="s">
        <v>10</v>
      </c>
      <c r="K73" t="s">
        <v>5</v>
      </c>
      <c r="L73" t="s">
        <v>12</v>
      </c>
      <c r="M73" t="s">
        <v>13</v>
      </c>
      <c r="N73" t="s">
        <v>8</v>
      </c>
      <c r="O73" t="s">
        <v>9</v>
      </c>
      <c r="P73" t="s">
        <v>14</v>
      </c>
      <c r="Q73" t="s">
        <v>134</v>
      </c>
      <c r="R73" t="s">
        <v>133</v>
      </c>
      <c r="S73" t="s">
        <v>31</v>
      </c>
    </row>
    <row r="74" spans="1:19" x14ac:dyDescent="0.2">
      <c r="A74" s="124" t="str">
        <f t="shared" ref="A74:A80" si="8">A39</f>
        <v>A-1-A</v>
      </c>
      <c r="B74" s="3" t="b">
        <v>0</v>
      </c>
      <c r="C74" s="123">
        <v>9.4140000000000001E-2</v>
      </c>
      <c r="D74" s="123">
        <v>5.688E-2</v>
      </c>
      <c r="E74" s="3" t="b">
        <v>0</v>
      </c>
      <c r="F74" s="3" t="b">
        <v>0</v>
      </c>
      <c r="G74" s="3" t="b">
        <v>0</v>
      </c>
      <c r="H74" s="3" t="b">
        <v>0</v>
      </c>
      <c r="I74" s="3" t="b">
        <v>0</v>
      </c>
      <c r="J74" s="3" t="b">
        <v>0</v>
      </c>
      <c r="K74" s="3" t="b">
        <v>0</v>
      </c>
      <c r="L74" s="3" t="b">
        <v>0</v>
      </c>
      <c r="M74" s="3" t="b">
        <v>0</v>
      </c>
      <c r="N74" s="3" t="b">
        <v>0</v>
      </c>
      <c r="O74" s="3" t="b">
        <v>0</v>
      </c>
      <c r="P74" s="3" t="b">
        <v>0</v>
      </c>
      <c r="Q74" s="3" t="b">
        <v>0</v>
      </c>
      <c r="R74" s="3" t="b">
        <v>0</v>
      </c>
      <c r="S74" t="str">
        <f>'PCIA  FF'!A3</f>
        <v>A1</v>
      </c>
    </row>
    <row r="75" spans="1:19" x14ac:dyDescent="0.2">
      <c r="A75" s="124" t="str">
        <f t="shared" si="8"/>
        <v>A-1-B (TOU)</v>
      </c>
      <c r="B75" s="3" t="b">
        <v>0</v>
      </c>
      <c r="C75" s="3" t="b">
        <v>0</v>
      </c>
      <c r="D75" s="3" t="b">
        <v>0</v>
      </c>
      <c r="E75" s="123">
        <v>0.10757</v>
      </c>
      <c r="F75" s="123">
        <v>8.5099999999999995E-2</v>
      </c>
      <c r="G75" s="123">
        <v>5.9119999999999999E-2</v>
      </c>
      <c r="H75" s="3" t="b">
        <v>0</v>
      </c>
      <c r="I75" s="123">
        <v>8.4919999999999995E-2</v>
      </c>
      <c r="J75" s="123">
        <v>6.5049999999999997E-2</v>
      </c>
      <c r="K75" s="3" t="b">
        <v>0</v>
      </c>
      <c r="L75" s="3" t="b">
        <v>0</v>
      </c>
      <c r="M75" s="3" t="b">
        <v>0</v>
      </c>
      <c r="N75" s="3" t="b">
        <v>0</v>
      </c>
      <c r="O75" s="3" t="b">
        <v>0</v>
      </c>
      <c r="P75" s="3" t="b">
        <v>0</v>
      </c>
      <c r="Q75" s="3" t="b">
        <v>0</v>
      </c>
      <c r="R75" s="3" t="b">
        <v>0</v>
      </c>
      <c r="S75" t="str">
        <f>'PCIA  FF'!A3</f>
        <v>A1</v>
      </c>
    </row>
    <row r="76" spans="1:19" x14ac:dyDescent="0.2">
      <c r="A76" s="124" t="str">
        <f t="shared" si="8"/>
        <v>A6</v>
      </c>
      <c r="B76" s="3" t="b">
        <v>0</v>
      </c>
      <c r="C76" s="3" t="b">
        <v>0</v>
      </c>
      <c r="D76" s="3" t="b">
        <v>0</v>
      </c>
      <c r="E76" s="123">
        <v>0.33328999999999998</v>
      </c>
      <c r="F76" s="123">
        <v>0.10569000000000001</v>
      </c>
      <c r="G76" s="123">
        <v>5.0310000000000001E-2</v>
      </c>
      <c r="H76" s="3" t="b">
        <v>0</v>
      </c>
      <c r="I76" s="123">
        <v>7.4499999999999997E-2</v>
      </c>
      <c r="J76" s="123">
        <v>5.7880000000000001E-2</v>
      </c>
      <c r="K76" s="3" t="b">
        <v>0</v>
      </c>
      <c r="L76" s="3" t="b">
        <v>0</v>
      </c>
      <c r="M76" s="3" t="b">
        <v>0</v>
      </c>
      <c r="N76" s="3" t="b">
        <v>0</v>
      </c>
      <c r="O76" s="3" t="b">
        <v>0</v>
      </c>
      <c r="P76" s="3" t="b">
        <v>0</v>
      </c>
      <c r="Q76" s="3" t="b">
        <v>0</v>
      </c>
      <c r="R76" s="3" t="b">
        <v>0</v>
      </c>
      <c r="S76" t="str">
        <f>'PCIA  FF'!A3</f>
        <v>A1</v>
      </c>
    </row>
    <row r="77" spans="1:19" x14ac:dyDescent="0.2">
      <c r="A77" s="124" t="str">
        <f t="shared" si="8"/>
        <v>A-10-A</v>
      </c>
      <c r="B77" s="3" t="b">
        <v>0</v>
      </c>
      <c r="C77" s="123">
        <v>8.4650000000000003E-2</v>
      </c>
      <c r="D77" s="123">
        <v>5.9020000000000003E-2</v>
      </c>
      <c r="E77" s="3" t="b">
        <v>0</v>
      </c>
      <c r="F77" s="3" t="b">
        <v>0</v>
      </c>
      <c r="G77" s="3" t="b">
        <v>0</v>
      </c>
      <c r="H77" s="3" t="b">
        <v>0</v>
      </c>
      <c r="I77" s="3" t="b">
        <v>0</v>
      </c>
      <c r="J77" s="3" t="b">
        <v>0</v>
      </c>
      <c r="K77" s="3" t="b">
        <v>0</v>
      </c>
      <c r="L77" s="3" t="b">
        <v>0</v>
      </c>
      <c r="M77" s="125">
        <v>5.14</v>
      </c>
      <c r="N77" s="3" t="b">
        <v>0</v>
      </c>
      <c r="O77" s="3" t="b">
        <v>0</v>
      </c>
      <c r="P77" s="3" t="b">
        <v>0</v>
      </c>
      <c r="Q77" s="3" t="b">
        <v>0</v>
      </c>
      <c r="R77" s="3" t="b">
        <v>0</v>
      </c>
      <c r="S77" t="str">
        <f>'PCIA  FF'!A4</f>
        <v>A10</v>
      </c>
    </row>
    <row r="78" spans="1:19" x14ac:dyDescent="0.2">
      <c r="A78" s="124" t="str">
        <f t="shared" si="8"/>
        <v>A-10-B (TOU)</v>
      </c>
      <c r="B78" s="3" t="b">
        <v>0</v>
      </c>
      <c r="C78" s="3" t="b">
        <v>0</v>
      </c>
      <c r="D78" s="3" t="b">
        <v>0</v>
      </c>
      <c r="E78" s="123">
        <v>0.13583999999999999</v>
      </c>
      <c r="F78" s="123">
        <v>8.3470000000000003E-2</v>
      </c>
      <c r="G78" s="123">
        <v>5.6800000000000003E-2</v>
      </c>
      <c r="H78" s="3" t="b">
        <v>0</v>
      </c>
      <c r="I78" s="123">
        <v>6.8320000000000006E-2</v>
      </c>
      <c r="J78" s="123">
        <v>5.2109999999999997E-2</v>
      </c>
      <c r="K78" s="3" t="b">
        <v>0</v>
      </c>
      <c r="L78" s="3" t="b">
        <v>0</v>
      </c>
      <c r="M78" s="125">
        <v>5.14</v>
      </c>
      <c r="N78" s="3" t="b">
        <v>0</v>
      </c>
      <c r="O78" s="3" t="b">
        <v>0</v>
      </c>
      <c r="P78" s="3" t="b">
        <v>0</v>
      </c>
      <c r="Q78" s="3" t="b">
        <v>0</v>
      </c>
      <c r="R78" s="3" t="b">
        <v>0</v>
      </c>
      <c r="S78" t="str">
        <f>'PCIA  FF'!A4</f>
        <v>A10</v>
      </c>
    </row>
    <row r="79" spans="1:19" x14ac:dyDescent="0.2">
      <c r="A79" s="124" t="str">
        <f t="shared" si="8"/>
        <v>E-19-S</v>
      </c>
      <c r="B79" s="3" t="b">
        <v>0</v>
      </c>
      <c r="C79" s="3" t="b">
        <v>0</v>
      </c>
      <c r="D79" s="3" t="b">
        <v>0</v>
      </c>
      <c r="E79" s="123">
        <v>0.10913</v>
      </c>
      <c r="F79" s="123">
        <v>6.6930000000000003E-2</v>
      </c>
      <c r="G79" s="123">
        <v>3.8980000000000001E-2</v>
      </c>
      <c r="H79" s="3" t="b">
        <v>0</v>
      </c>
      <c r="I79" s="123">
        <v>6.114E-2</v>
      </c>
      <c r="J79" s="123">
        <v>4.5909999999999999E-2</v>
      </c>
      <c r="K79" s="125">
        <v>13.17</v>
      </c>
      <c r="L79" s="125">
        <v>3.25</v>
      </c>
      <c r="M79" s="3" t="b">
        <v>0</v>
      </c>
      <c r="N79" s="3" t="b">
        <v>0</v>
      </c>
      <c r="O79" s="3" t="b">
        <v>0</v>
      </c>
      <c r="P79" s="3" t="b">
        <v>0</v>
      </c>
      <c r="Q79" s="3" t="b">
        <v>0</v>
      </c>
      <c r="R79" s="3" t="b">
        <v>0</v>
      </c>
      <c r="S79" t="str">
        <f>'PCIA  FF'!A5</f>
        <v>E19</v>
      </c>
    </row>
    <row r="80" spans="1:19" x14ac:dyDescent="0.2">
      <c r="A80" s="124" t="str">
        <f t="shared" si="8"/>
        <v>E-19-P</v>
      </c>
      <c r="B80" s="3" t="b">
        <v>0</v>
      </c>
      <c r="C80" s="3" t="b">
        <v>0</v>
      </c>
      <c r="D80" s="3" t="b">
        <v>0</v>
      </c>
      <c r="E80" s="123">
        <v>9.9479999999999999E-2</v>
      </c>
      <c r="F80" s="123">
        <v>5.9540000000000003E-2</v>
      </c>
      <c r="G80" s="123">
        <v>3.3860000000000001E-2</v>
      </c>
      <c r="H80" s="3" t="b">
        <v>0</v>
      </c>
      <c r="I80" s="123">
        <v>5.4140000000000001E-2</v>
      </c>
      <c r="J80" s="123">
        <v>4.02E-2</v>
      </c>
      <c r="K80" s="125">
        <v>11.75</v>
      </c>
      <c r="L80" s="125">
        <v>2.86</v>
      </c>
      <c r="M80" s="3" t="b">
        <v>0</v>
      </c>
      <c r="N80" s="3" t="b">
        <v>0</v>
      </c>
      <c r="O80" s="3" t="b">
        <v>0</v>
      </c>
      <c r="P80" s="3" t="b">
        <v>0</v>
      </c>
      <c r="Q80" s="3" t="b">
        <v>0</v>
      </c>
      <c r="R80" s="3" t="b">
        <v>0</v>
      </c>
      <c r="S80" t="str">
        <f>'PCIA  FF'!A5</f>
        <v>E19</v>
      </c>
    </row>
    <row r="81" spans="1:19" x14ac:dyDescent="0.2">
      <c r="A81" s="124" t="str">
        <f t="shared" ref="A81:A85" si="9">A46</f>
        <v>E-19-T</v>
      </c>
      <c r="B81" s="3" t="b">
        <v>0</v>
      </c>
      <c r="C81" s="3" t="b">
        <v>0</v>
      </c>
      <c r="D81" s="3" t="b">
        <v>0</v>
      </c>
      <c r="E81" s="123">
        <v>6.4759999999999998E-2</v>
      </c>
      <c r="F81" s="123">
        <v>5.1209999999999999E-2</v>
      </c>
      <c r="G81" s="123">
        <v>3.3259999999999998E-2</v>
      </c>
      <c r="H81" s="3" t="b">
        <v>0</v>
      </c>
      <c r="I81" s="123">
        <v>5.3330000000000002E-2</v>
      </c>
      <c r="J81" s="123">
        <v>3.9550000000000002E-2</v>
      </c>
      <c r="K81" s="125">
        <v>13.36</v>
      </c>
      <c r="L81" s="125">
        <v>3.35</v>
      </c>
      <c r="M81" s="3" t="b">
        <v>0</v>
      </c>
      <c r="N81" s="3" t="b">
        <v>0</v>
      </c>
      <c r="O81" s="3" t="b">
        <v>0</v>
      </c>
      <c r="P81" s="3" t="b">
        <v>0</v>
      </c>
      <c r="Q81" s="3" t="b">
        <v>0</v>
      </c>
      <c r="R81" s="3" t="b">
        <v>0</v>
      </c>
      <c r="S81" t="str">
        <f>'PCIA  FF'!A5</f>
        <v>E19</v>
      </c>
    </row>
    <row r="82" spans="1:19" x14ac:dyDescent="0.2">
      <c r="A82" s="124" t="str">
        <f t="shared" si="9"/>
        <v>E-19-R-S</v>
      </c>
      <c r="B82" s="3" t="b">
        <v>0</v>
      </c>
      <c r="C82" s="3" t="b">
        <v>0</v>
      </c>
      <c r="D82" s="3" t="b">
        <v>0</v>
      </c>
      <c r="E82" s="123">
        <v>0.25478000000000001</v>
      </c>
      <c r="F82" s="123">
        <v>0.10081</v>
      </c>
      <c r="G82" s="123">
        <v>3.8980000000000001E-2</v>
      </c>
      <c r="H82" s="3" t="b">
        <v>0</v>
      </c>
      <c r="I82" s="123">
        <v>6.114E-2</v>
      </c>
      <c r="J82" s="123">
        <v>4.5909999999999999E-2</v>
      </c>
      <c r="K82" s="3" t="b">
        <v>0</v>
      </c>
      <c r="L82" s="3" t="b">
        <v>0</v>
      </c>
      <c r="M82" s="3" t="b">
        <v>0</v>
      </c>
      <c r="N82" s="3" t="b">
        <v>0</v>
      </c>
      <c r="O82" s="3" t="b">
        <v>0</v>
      </c>
      <c r="P82" s="3" t="b">
        <v>0</v>
      </c>
      <c r="Q82" s="3" t="b">
        <v>0</v>
      </c>
      <c r="R82" s="3" t="b">
        <v>0</v>
      </c>
      <c r="S82" t="str">
        <f>'PCIA  FF'!A5</f>
        <v>E19</v>
      </c>
    </row>
    <row r="83" spans="1:19" x14ac:dyDescent="0.2">
      <c r="A83" s="124" t="str">
        <f t="shared" si="9"/>
        <v>E-19-R-P</v>
      </c>
      <c r="B83" s="3" t="b">
        <v>0</v>
      </c>
      <c r="C83" s="3" t="b">
        <v>0</v>
      </c>
      <c r="D83" s="3" t="b">
        <v>0</v>
      </c>
      <c r="E83" s="123">
        <v>0.24240999999999999</v>
      </c>
      <c r="F83" s="123">
        <v>9.2280000000000001E-2</v>
      </c>
      <c r="G83" s="123">
        <v>3.3860000000000001E-2</v>
      </c>
      <c r="H83" s="3" t="b">
        <v>0</v>
      </c>
      <c r="I83" s="123">
        <v>5.4140000000000001E-2</v>
      </c>
      <c r="J83" s="123">
        <v>4.02E-2</v>
      </c>
      <c r="K83" s="3" t="b">
        <v>0</v>
      </c>
      <c r="L83" s="3" t="b">
        <v>0</v>
      </c>
      <c r="M83" s="3" t="b">
        <v>0</v>
      </c>
      <c r="N83" s="3" t="b">
        <v>0</v>
      </c>
      <c r="O83" s="3" t="b">
        <v>0</v>
      </c>
      <c r="P83" s="3" t="b">
        <v>0</v>
      </c>
      <c r="Q83" s="3" t="b">
        <v>0</v>
      </c>
      <c r="R83" s="3" t="b">
        <v>0</v>
      </c>
      <c r="S83" t="str">
        <f>'PCIA  FF'!A5</f>
        <v>E19</v>
      </c>
    </row>
    <row r="84" spans="1:19" x14ac:dyDescent="0.2">
      <c r="A84" s="124" t="str">
        <f t="shared" si="9"/>
        <v>E-19-R-T</v>
      </c>
      <c r="B84" s="3" t="b">
        <v>0</v>
      </c>
      <c r="C84" s="3" t="b">
        <v>0</v>
      </c>
      <c r="D84" s="3" t="b">
        <v>0</v>
      </c>
      <c r="E84" s="123">
        <v>0.24137</v>
      </c>
      <c r="F84" s="123">
        <v>9.2859999999999998E-2</v>
      </c>
      <c r="G84" s="123">
        <v>3.3259999999999998E-2</v>
      </c>
      <c r="H84" s="3" t="b">
        <v>0</v>
      </c>
      <c r="I84" s="123">
        <v>5.3330000000000002E-2</v>
      </c>
      <c r="J84" s="123">
        <v>3.9550000000000002E-2</v>
      </c>
      <c r="K84" s="3" t="b">
        <v>0</v>
      </c>
      <c r="L84" s="3" t="b">
        <v>0</v>
      </c>
      <c r="M84" s="3" t="b">
        <v>0</v>
      </c>
      <c r="N84" s="3" t="b">
        <v>0</v>
      </c>
      <c r="O84" s="3" t="b">
        <v>0</v>
      </c>
      <c r="P84" s="3" t="b">
        <v>0</v>
      </c>
      <c r="Q84" s="3" t="b">
        <v>0</v>
      </c>
      <c r="R84" s="3" t="b">
        <v>0</v>
      </c>
      <c r="S84" t="str">
        <f>'PCIA  FF'!A5</f>
        <v>E19</v>
      </c>
    </row>
    <row r="85" spans="1:19" x14ac:dyDescent="0.2">
      <c r="A85" s="124" t="str">
        <f t="shared" si="9"/>
        <v>E-20-S</v>
      </c>
      <c r="B85" s="3" t="b">
        <v>0</v>
      </c>
      <c r="C85" s="3" t="b">
        <v>0</v>
      </c>
      <c r="D85" s="3" t="b">
        <v>0</v>
      </c>
      <c r="E85" s="123">
        <v>0.10062</v>
      </c>
      <c r="F85" s="123">
        <v>6.2269999999999999E-2</v>
      </c>
      <c r="G85" s="123">
        <v>3.594E-2</v>
      </c>
      <c r="H85" s="3" t="b">
        <v>0</v>
      </c>
      <c r="I85" s="123">
        <v>5.67E-2</v>
      </c>
      <c r="J85" s="123">
        <v>4.2430000000000002E-2</v>
      </c>
      <c r="K85" s="125">
        <v>12.74</v>
      </c>
      <c r="L85" s="125">
        <v>3.14</v>
      </c>
      <c r="M85" s="3" t="b">
        <v>0</v>
      </c>
      <c r="N85" s="3" t="b">
        <v>0</v>
      </c>
      <c r="O85" s="3" t="b">
        <v>0</v>
      </c>
      <c r="P85" s="3" t="b">
        <v>0</v>
      </c>
      <c r="Q85" s="3" t="b">
        <v>0</v>
      </c>
      <c r="R85" s="3" t="b">
        <v>0</v>
      </c>
      <c r="S85" t="str">
        <f>'PCIA  FF'!A11</f>
        <v>E20S</v>
      </c>
    </row>
    <row r="86" spans="1:19" x14ac:dyDescent="0.2">
      <c r="A86" s="124" t="str">
        <f t="shared" ref="A86:A99" si="10">A51</f>
        <v>E-20-P</v>
      </c>
      <c r="B86" s="3" t="b">
        <v>0</v>
      </c>
      <c r="C86" s="3" t="b">
        <v>0</v>
      </c>
      <c r="D86" s="3" t="b">
        <v>0</v>
      </c>
      <c r="E86" s="123">
        <v>0.10475</v>
      </c>
      <c r="F86" s="123">
        <v>6.2480000000000001E-2</v>
      </c>
      <c r="G86" s="123">
        <v>3.6479999999999999E-2</v>
      </c>
      <c r="H86" s="3" t="b">
        <v>0</v>
      </c>
      <c r="I86" s="123">
        <v>5.6910000000000002E-2</v>
      </c>
      <c r="J86" s="123">
        <v>4.2860000000000002E-2</v>
      </c>
      <c r="K86" s="125">
        <v>13.98</v>
      </c>
      <c r="L86" s="125">
        <v>3.31</v>
      </c>
      <c r="M86" s="3" t="b">
        <v>0</v>
      </c>
      <c r="N86" s="3" t="b">
        <v>0</v>
      </c>
      <c r="O86" s="3" t="b">
        <v>0</v>
      </c>
      <c r="P86" s="3" t="b">
        <v>0</v>
      </c>
      <c r="Q86" s="3" t="b">
        <v>0</v>
      </c>
      <c r="R86" s="3" t="b">
        <v>0</v>
      </c>
      <c r="S86" t="str">
        <f>'PCIA  FF'!A10</f>
        <v>E20P</v>
      </c>
    </row>
    <row r="87" spans="1:19" x14ac:dyDescent="0.2">
      <c r="A87" s="124" t="str">
        <f t="shared" si="10"/>
        <v>E-20-T</v>
      </c>
      <c r="B87" s="3" t="b">
        <v>0</v>
      </c>
      <c r="C87" s="3" t="b">
        <v>0</v>
      </c>
      <c r="D87" s="3" t="b">
        <v>0</v>
      </c>
      <c r="E87" s="123">
        <v>6.3369999999999996E-2</v>
      </c>
      <c r="F87" s="123">
        <v>5.0630000000000001E-2</v>
      </c>
      <c r="G87" s="123">
        <v>3.3759999999999998E-2</v>
      </c>
      <c r="H87" s="3" t="b">
        <v>0</v>
      </c>
      <c r="I87" s="123">
        <v>5.2630000000000003E-2</v>
      </c>
      <c r="J87" s="123">
        <v>3.9669999999999997E-2</v>
      </c>
      <c r="K87" s="125">
        <v>16.55</v>
      </c>
      <c r="L87" s="125">
        <v>3.94</v>
      </c>
      <c r="M87" s="3" t="b">
        <v>0</v>
      </c>
      <c r="N87" s="3" t="b">
        <v>0</v>
      </c>
      <c r="O87" s="3" t="b">
        <v>0</v>
      </c>
      <c r="P87" s="3" t="b">
        <v>0</v>
      </c>
      <c r="Q87" s="3" t="b">
        <v>0</v>
      </c>
      <c r="R87" s="3" t="b">
        <v>0</v>
      </c>
      <c r="S87" t="str">
        <f>'PCIA  FF'!A9</f>
        <v>E20T</v>
      </c>
    </row>
    <row r="88" spans="1:19" x14ac:dyDescent="0.2">
      <c r="A88" s="124" t="str">
        <f t="shared" si="10"/>
        <v>E-20-R-S</v>
      </c>
      <c r="B88" s="3" t="b">
        <v>0</v>
      </c>
      <c r="C88" s="3" t="b">
        <v>0</v>
      </c>
      <c r="D88" s="3" t="b">
        <v>0</v>
      </c>
      <c r="E88" s="123">
        <v>0.23105000000000001</v>
      </c>
      <c r="F88" s="123">
        <v>9.3810000000000004E-2</v>
      </c>
      <c r="G88" s="123">
        <v>3.594E-2</v>
      </c>
      <c r="H88" s="3" t="b">
        <v>0</v>
      </c>
      <c r="I88" s="123">
        <v>5.67E-2</v>
      </c>
      <c r="J88" s="123">
        <v>4.2430000000000002E-2</v>
      </c>
      <c r="K88" s="3" t="b">
        <v>0</v>
      </c>
      <c r="L88" s="3" t="b">
        <v>0</v>
      </c>
      <c r="M88" s="3" t="b">
        <v>0</v>
      </c>
      <c r="N88" s="3" t="b">
        <v>0</v>
      </c>
      <c r="O88" s="3" t="b">
        <v>0</v>
      </c>
      <c r="P88" s="3" t="b">
        <v>0</v>
      </c>
      <c r="Q88" s="3" t="b">
        <v>0</v>
      </c>
      <c r="R88" s="3" t="b">
        <v>0</v>
      </c>
      <c r="S88" t="str">
        <f>S85</f>
        <v>E20S</v>
      </c>
    </row>
    <row r="89" spans="1:19" x14ac:dyDescent="0.2">
      <c r="A89" s="124" t="str">
        <f t="shared" si="10"/>
        <v>E-20-R-P</v>
      </c>
      <c r="B89" s="3" t="b">
        <v>0</v>
      </c>
      <c r="C89" s="3" t="b">
        <v>0</v>
      </c>
      <c r="D89" s="3" t="b">
        <v>0</v>
      </c>
      <c r="E89" s="123">
        <v>0.24873999999999999</v>
      </c>
      <c r="F89" s="123">
        <v>9.4140000000000001E-2</v>
      </c>
      <c r="G89" s="123">
        <v>3.6479999999999999E-2</v>
      </c>
      <c r="H89" s="3" t="b">
        <v>0</v>
      </c>
      <c r="I89" s="123">
        <v>5.6910000000000002E-2</v>
      </c>
      <c r="J89" s="123">
        <v>4.2860000000000002E-2</v>
      </c>
      <c r="K89" s="3" t="b">
        <v>0</v>
      </c>
      <c r="L89" s="3" t="b">
        <v>0</v>
      </c>
      <c r="M89" s="3" t="b">
        <v>0</v>
      </c>
      <c r="N89" s="3" t="b">
        <v>0</v>
      </c>
      <c r="O89" s="3" t="b">
        <v>0</v>
      </c>
      <c r="P89" s="3" t="b">
        <v>0</v>
      </c>
      <c r="Q89" s="3" t="b">
        <v>0</v>
      </c>
      <c r="R89" s="3" t="b">
        <v>0</v>
      </c>
      <c r="S89" t="str">
        <f>S86</f>
        <v>E20P</v>
      </c>
    </row>
    <row r="90" spans="1:19" x14ac:dyDescent="0.2">
      <c r="A90" s="124" t="str">
        <f t="shared" si="10"/>
        <v>E-20-R-T</v>
      </c>
      <c r="B90" s="3" t="b">
        <v>0</v>
      </c>
      <c r="C90" s="3" t="b">
        <v>0</v>
      </c>
      <c r="D90" s="3" t="b">
        <v>0</v>
      </c>
      <c r="E90" s="123">
        <v>0.24207999999999999</v>
      </c>
      <c r="F90" s="123">
        <v>8.8469999999999993E-2</v>
      </c>
      <c r="G90" s="123">
        <v>3.3759999999999998E-2</v>
      </c>
      <c r="H90" s="3" t="b">
        <v>0</v>
      </c>
      <c r="I90" s="123">
        <v>5.2630000000000003E-2</v>
      </c>
      <c r="J90" s="123">
        <v>3.9669999999999997E-2</v>
      </c>
      <c r="K90" s="3" t="b">
        <v>0</v>
      </c>
      <c r="L90" s="3" t="b">
        <v>0</v>
      </c>
      <c r="M90" s="3" t="b">
        <v>0</v>
      </c>
      <c r="N90" s="3" t="b">
        <v>0</v>
      </c>
      <c r="O90" s="3" t="b">
        <v>0</v>
      </c>
      <c r="P90" s="3" t="b">
        <v>0</v>
      </c>
      <c r="Q90" s="3" t="b">
        <v>0</v>
      </c>
      <c r="R90" s="3" t="b">
        <v>0</v>
      </c>
      <c r="S90" t="str">
        <f>S87</f>
        <v>E20T</v>
      </c>
    </row>
    <row r="91" spans="1:19" x14ac:dyDescent="0.2">
      <c r="A91" s="124" t="str">
        <f t="shared" si="10"/>
        <v>SL</v>
      </c>
      <c r="B91" s="123">
        <v>7.6649999999999996E-2</v>
      </c>
      <c r="C91" s="3" t="b">
        <v>0</v>
      </c>
      <c r="D91" s="3" t="b">
        <v>0</v>
      </c>
      <c r="E91" s="3" t="b">
        <v>0</v>
      </c>
      <c r="F91" s="3" t="b">
        <v>0</v>
      </c>
      <c r="G91" s="3" t="b">
        <v>0</v>
      </c>
      <c r="H91" s="3" t="b">
        <v>0</v>
      </c>
      <c r="I91" s="3" t="b">
        <v>0</v>
      </c>
      <c r="J91" s="3" t="b">
        <v>0</v>
      </c>
      <c r="K91" s="3" t="b">
        <v>0</v>
      </c>
      <c r="L91" s="3" t="b">
        <v>0</v>
      </c>
      <c r="M91" s="3" t="b">
        <v>0</v>
      </c>
      <c r="N91" s="3" t="b">
        <v>0</v>
      </c>
      <c r="O91" s="3" t="b">
        <v>0</v>
      </c>
      <c r="P91" s="3" t="b">
        <v>0</v>
      </c>
      <c r="Q91" s="3" t="b">
        <v>0</v>
      </c>
      <c r="R91" s="3" t="b">
        <v>0</v>
      </c>
      <c r="S91" t="str">
        <f>'PCIA  FF'!A6</f>
        <v>Streelights</v>
      </c>
    </row>
    <row r="92" spans="1:19" x14ac:dyDescent="0.2">
      <c r="A92" s="124" t="str">
        <f t="shared" si="10"/>
        <v>TC-1</v>
      </c>
      <c r="B92" s="123">
        <v>6.5009999999999998E-2</v>
      </c>
      <c r="C92" s="3" t="b">
        <v>0</v>
      </c>
      <c r="D92" s="3" t="b">
        <v>0</v>
      </c>
      <c r="E92" s="3" t="b">
        <v>0</v>
      </c>
      <c r="F92" s="3" t="b">
        <v>0</v>
      </c>
      <c r="G92" s="3" t="b">
        <v>0</v>
      </c>
      <c r="H92" s="3" t="b">
        <v>0</v>
      </c>
      <c r="I92" s="3" t="b">
        <v>0</v>
      </c>
      <c r="J92" s="3" t="b">
        <v>0</v>
      </c>
      <c r="K92" s="3" t="b">
        <v>0</v>
      </c>
      <c r="L92" s="3" t="b">
        <v>0</v>
      </c>
      <c r="M92" s="3" t="b">
        <v>0</v>
      </c>
      <c r="N92" s="3" t="b">
        <v>0</v>
      </c>
      <c r="O92" s="3" t="b">
        <v>0</v>
      </c>
      <c r="P92" s="3" t="b">
        <v>0</v>
      </c>
      <c r="Q92" s="3" t="b">
        <v>0</v>
      </c>
      <c r="R92" s="3" t="b">
        <v>0</v>
      </c>
      <c r="S92" t="str">
        <f>'PCIA  FF'!A3</f>
        <v>A1</v>
      </c>
    </row>
    <row r="93" spans="1:19" x14ac:dyDescent="0.2">
      <c r="A93" s="124" t="str">
        <f t="shared" si="10"/>
        <v>AG-1A</v>
      </c>
      <c r="B93" s="3" t="b">
        <v>0</v>
      </c>
      <c r="C93" s="123">
        <v>7.8140000000000001E-2</v>
      </c>
      <c r="D93" s="123">
        <v>5.7689999999999998E-2</v>
      </c>
      <c r="E93" s="3" t="b">
        <v>0</v>
      </c>
      <c r="F93" s="3" t="b">
        <v>0</v>
      </c>
      <c r="G93" s="3" t="b">
        <v>0</v>
      </c>
      <c r="H93" s="3" t="b">
        <v>0</v>
      </c>
      <c r="I93" s="3" t="b">
        <v>0</v>
      </c>
      <c r="J93" s="3" t="b">
        <v>0</v>
      </c>
      <c r="K93" s="3" t="b">
        <v>0</v>
      </c>
      <c r="L93" s="3" t="b">
        <v>0</v>
      </c>
      <c r="M93" s="3" t="b">
        <v>0</v>
      </c>
      <c r="N93" s="3" t="b">
        <v>0</v>
      </c>
      <c r="O93" s="3" t="b">
        <v>0</v>
      </c>
      <c r="P93" s="3" t="b">
        <v>0</v>
      </c>
      <c r="Q93" s="125">
        <v>1.42</v>
      </c>
      <c r="R93" s="3" t="b">
        <v>0</v>
      </c>
      <c r="S93" t="str">
        <f>'PCIA  FF'!$A$8</f>
        <v>Agriculture</v>
      </c>
    </row>
    <row r="94" spans="1:19" x14ac:dyDescent="0.2">
      <c r="A94" s="124" t="str">
        <f t="shared" si="10"/>
        <v>AG-1B</v>
      </c>
      <c r="B94" s="3" t="b">
        <v>0</v>
      </c>
      <c r="C94" s="123">
        <v>8.1220000000000001E-2</v>
      </c>
      <c r="D94" s="123">
        <v>5.7770000000000002E-2</v>
      </c>
      <c r="E94" s="3" t="b">
        <v>0</v>
      </c>
      <c r="F94" s="3" t="b">
        <v>0</v>
      </c>
      <c r="G94" s="3" t="b">
        <v>0</v>
      </c>
      <c r="H94" s="3" t="b">
        <v>0</v>
      </c>
      <c r="I94" s="3" t="b">
        <v>0</v>
      </c>
      <c r="J94" s="3" t="b">
        <v>0</v>
      </c>
      <c r="K94" s="3" t="b">
        <v>0</v>
      </c>
      <c r="L94" s="3" t="b">
        <v>0</v>
      </c>
      <c r="M94" s="125">
        <v>2.13</v>
      </c>
      <c r="N94" s="3" t="b">
        <v>0</v>
      </c>
      <c r="O94" s="3" t="b">
        <v>0</v>
      </c>
      <c r="P94" s="3" t="b">
        <v>0</v>
      </c>
      <c r="Q94" s="3" t="b">
        <v>0</v>
      </c>
      <c r="R94" s="3" t="b">
        <v>0</v>
      </c>
      <c r="S94" t="str">
        <f>'PCIA  FF'!$A$8</f>
        <v>Agriculture</v>
      </c>
    </row>
    <row r="95" spans="1:19" x14ac:dyDescent="0.2">
      <c r="A95" s="124" t="str">
        <f t="shared" si="10"/>
        <v>AG-4A</v>
      </c>
      <c r="B95" s="3" t="b">
        <v>0</v>
      </c>
      <c r="C95" s="3" t="b">
        <v>0</v>
      </c>
      <c r="D95" s="3" t="b">
        <v>0</v>
      </c>
      <c r="E95" s="123">
        <v>0.14013</v>
      </c>
      <c r="F95" s="3" t="b">
        <v>0</v>
      </c>
      <c r="G95" s="123">
        <v>4.6190000000000002E-2</v>
      </c>
      <c r="H95" s="3" t="b">
        <v>0</v>
      </c>
      <c r="I95" s="123">
        <v>5.0459999999999998E-2</v>
      </c>
      <c r="J95" s="123">
        <v>3.9269999999999999E-2</v>
      </c>
      <c r="K95" s="3" t="b">
        <v>0</v>
      </c>
      <c r="L95" s="3" t="b">
        <v>0</v>
      </c>
      <c r="M95" s="3" t="b">
        <v>0</v>
      </c>
      <c r="N95" s="3" t="b">
        <v>0</v>
      </c>
      <c r="O95" s="3" t="b">
        <v>0</v>
      </c>
      <c r="P95" s="3" t="b">
        <v>0</v>
      </c>
      <c r="Q95" s="125">
        <v>1.41</v>
      </c>
      <c r="R95" s="3" t="b">
        <v>0</v>
      </c>
      <c r="S95" t="str">
        <f>'PCIA  FF'!$A$8</f>
        <v>Agriculture</v>
      </c>
    </row>
    <row r="96" spans="1:19" x14ac:dyDescent="0.2">
      <c r="A96" s="124" t="str">
        <f t="shared" si="10"/>
        <v>AG-4B</v>
      </c>
      <c r="B96" s="3" t="b">
        <v>0</v>
      </c>
      <c r="C96" s="3" t="b">
        <v>0</v>
      </c>
      <c r="D96" s="3" t="b">
        <v>0</v>
      </c>
      <c r="E96" s="123">
        <v>0.10143000000000001</v>
      </c>
      <c r="F96" s="3" t="b">
        <v>0</v>
      </c>
      <c r="G96" s="123">
        <v>4.8309999999999999E-2</v>
      </c>
      <c r="H96" s="3" t="b">
        <v>0</v>
      </c>
      <c r="I96" s="123">
        <v>4.6489999999999997E-2</v>
      </c>
      <c r="J96" s="123">
        <v>3.5799999999999998E-2</v>
      </c>
      <c r="K96" s="125">
        <v>2.4900000000000002</v>
      </c>
      <c r="L96" s="3" t="b">
        <v>0</v>
      </c>
      <c r="M96" s="125">
        <v>2.64</v>
      </c>
      <c r="N96" s="3" t="b">
        <v>0</v>
      </c>
      <c r="O96" s="3" t="b">
        <v>0</v>
      </c>
      <c r="P96" s="3" t="b">
        <v>0</v>
      </c>
      <c r="Q96" s="3" t="b">
        <v>0</v>
      </c>
      <c r="R96" s="3" t="b">
        <v>0</v>
      </c>
      <c r="S96" t="str">
        <f>'PCIA  FF'!$A$8</f>
        <v>Agriculture</v>
      </c>
    </row>
    <row r="97" spans="1:19" x14ac:dyDescent="0.2">
      <c r="A97" s="124" t="str">
        <f t="shared" si="10"/>
        <v>AG-4C</v>
      </c>
      <c r="B97" s="3" t="b">
        <v>0</v>
      </c>
      <c r="C97" s="3" t="b">
        <v>0</v>
      </c>
      <c r="D97" s="3" t="b">
        <v>0</v>
      </c>
      <c r="E97" s="123">
        <v>0.12092</v>
      </c>
      <c r="F97" s="123">
        <v>5.7540000000000001E-2</v>
      </c>
      <c r="G97" s="123">
        <v>3.4509999999999999E-2</v>
      </c>
      <c r="H97" s="3" t="b">
        <v>0</v>
      </c>
      <c r="I97" s="123">
        <v>4.1050000000000003E-2</v>
      </c>
      <c r="J97" s="123">
        <v>3.116E-2</v>
      </c>
      <c r="K97" s="125">
        <v>6.13</v>
      </c>
      <c r="L97" s="125">
        <v>1.05</v>
      </c>
      <c r="M97" s="3" t="b">
        <v>0</v>
      </c>
      <c r="N97" s="3" t="b">
        <v>0</v>
      </c>
      <c r="O97" s="3" t="b">
        <v>0</v>
      </c>
      <c r="P97" s="3" t="b">
        <v>0</v>
      </c>
      <c r="Q97" s="3" t="b">
        <v>0</v>
      </c>
      <c r="R97" s="3" t="b">
        <v>0</v>
      </c>
      <c r="S97" t="str">
        <f>'PCIA  FF'!$A$8</f>
        <v>Agriculture</v>
      </c>
    </row>
    <row r="98" spans="1:19" x14ac:dyDescent="0.2">
      <c r="A98" s="124" t="str">
        <f t="shared" si="10"/>
        <v>AG-5A, AG-5D</v>
      </c>
      <c r="B98" s="3" t="b">
        <v>0</v>
      </c>
      <c r="C98" s="3" t="b">
        <v>0</v>
      </c>
      <c r="D98" s="3" t="b">
        <v>0</v>
      </c>
      <c r="E98" s="123">
        <v>0.12953000000000001</v>
      </c>
      <c r="F98" s="3" t="b">
        <v>0</v>
      </c>
      <c r="G98" s="123">
        <v>5.1319999999999998E-2</v>
      </c>
      <c r="H98" s="3" t="b">
        <v>0</v>
      </c>
      <c r="I98" s="123">
        <v>5.4940000000000003E-2</v>
      </c>
      <c r="J98" s="123">
        <v>4.3150000000000001E-2</v>
      </c>
      <c r="K98" s="3" t="b">
        <v>0</v>
      </c>
      <c r="L98" s="3" t="b">
        <v>0</v>
      </c>
      <c r="M98" s="3" t="b">
        <v>0</v>
      </c>
      <c r="N98" s="3" t="b">
        <v>0</v>
      </c>
      <c r="O98" s="3" t="b">
        <v>0</v>
      </c>
      <c r="P98" s="3" t="b">
        <v>0</v>
      </c>
      <c r="Q98" s="125">
        <v>3.85</v>
      </c>
      <c r="R98" s="3" t="b">
        <v>0</v>
      </c>
      <c r="S98" t="str">
        <f>'PCIA  FF'!$A$8</f>
        <v>Agriculture</v>
      </c>
    </row>
    <row r="99" spans="1:19" x14ac:dyDescent="0.2">
      <c r="A99" s="124" t="str">
        <f t="shared" si="10"/>
        <v>AG-5B, AG-5E</v>
      </c>
      <c r="B99" s="3" t="b">
        <v>0</v>
      </c>
      <c r="C99" s="3" t="b">
        <v>0</v>
      </c>
      <c r="D99" s="3" t="b">
        <v>0</v>
      </c>
      <c r="E99" s="123">
        <v>0.12592999999999999</v>
      </c>
      <c r="F99" s="3" t="b">
        <v>0</v>
      </c>
      <c r="G99" s="123">
        <v>2.564E-2</v>
      </c>
      <c r="H99" s="3" t="b">
        <v>0</v>
      </c>
      <c r="I99" s="123">
        <v>4.6539999999999998E-2</v>
      </c>
      <c r="J99" s="123">
        <v>1.6990000000000002E-2</v>
      </c>
      <c r="K99" s="125">
        <v>5.8</v>
      </c>
      <c r="L99" s="3" t="b">
        <v>0</v>
      </c>
      <c r="M99" s="125">
        <v>4.63</v>
      </c>
      <c r="N99" s="3" t="b">
        <v>0</v>
      </c>
      <c r="O99" s="3" t="b">
        <v>0</v>
      </c>
      <c r="P99" s="3" t="b">
        <v>0</v>
      </c>
      <c r="Q99" s="3" t="b">
        <v>0</v>
      </c>
      <c r="R99" s="3" t="b">
        <v>0</v>
      </c>
      <c r="S99" t="str">
        <f>'PCIA  FF'!$A$8</f>
        <v>Agriculture</v>
      </c>
    </row>
    <row r="100" spans="1:19" x14ac:dyDescent="0.2">
      <c r="A100" s="124" t="str">
        <f t="shared" ref="A100:A104" si="11">A65</f>
        <v>AG-5C, AG-5F</v>
      </c>
      <c r="B100" s="3" t="b">
        <v>0</v>
      </c>
      <c r="C100" s="3" t="b">
        <v>0</v>
      </c>
      <c r="D100" s="3" t="b">
        <v>0</v>
      </c>
      <c r="E100" s="123">
        <v>0.10008</v>
      </c>
      <c r="F100" s="123">
        <v>4.7149999999999997E-2</v>
      </c>
      <c r="G100" s="123">
        <v>2.7449999999999999E-2</v>
      </c>
      <c r="H100" s="3" t="b">
        <v>0</v>
      </c>
      <c r="I100" s="123">
        <v>3.3349999999999998E-2</v>
      </c>
      <c r="J100" s="123">
        <v>2.4400000000000002E-2</v>
      </c>
      <c r="K100" s="125">
        <v>10.74</v>
      </c>
      <c r="L100" s="125">
        <v>2.02</v>
      </c>
      <c r="M100" s="3" t="b">
        <v>0</v>
      </c>
      <c r="N100" s="3" t="b">
        <v>0</v>
      </c>
      <c r="O100" s="3" t="b">
        <v>0</v>
      </c>
      <c r="P100" s="3" t="b">
        <v>0</v>
      </c>
      <c r="Q100" s="3" t="b">
        <v>0</v>
      </c>
      <c r="R100" s="3" t="b">
        <v>0</v>
      </c>
      <c r="S100" t="str">
        <f>'PCIA  FF'!$A$8</f>
        <v>Agriculture</v>
      </c>
    </row>
    <row r="101" spans="1:19" x14ac:dyDescent="0.2">
      <c r="A101" s="124" t="str">
        <f t="shared" si="11"/>
        <v>AG-RA</v>
      </c>
      <c r="B101" s="3" t="b">
        <v>0</v>
      </c>
      <c r="C101" s="3" t="b">
        <v>0</v>
      </c>
      <c r="D101" s="3" t="b">
        <v>0</v>
      </c>
      <c r="E101" s="123">
        <v>0.25290000000000001</v>
      </c>
      <c r="F101" s="3" t="b">
        <v>0</v>
      </c>
      <c r="G101" s="123">
        <v>4.487E-2</v>
      </c>
      <c r="H101" s="3" t="b">
        <v>0</v>
      </c>
      <c r="I101" s="123">
        <v>5.228E-2</v>
      </c>
      <c r="J101" s="123">
        <v>4.0759999999999998E-2</v>
      </c>
      <c r="K101" s="3" t="b">
        <v>0</v>
      </c>
      <c r="L101" s="3" t="b">
        <v>0</v>
      </c>
      <c r="M101" s="3" t="b">
        <v>0</v>
      </c>
      <c r="N101" s="3" t="b">
        <v>0</v>
      </c>
      <c r="O101" s="3" t="b">
        <v>0</v>
      </c>
      <c r="P101" s="3" t="b">
        <v>0</v>
      </c>
      <c r="Q101" s="125">
        <v>1.37</v>
      </c>
      <c r="R101" s="3" t="b">
        <v>0</v>
      </c>
      <c r="S101" t="str">
        <f>'PCIA  FF'!$A$8</f>
        <v>Agriculture</v>
      </c>
    </row>
    <row r="102" spans="1:19" x14ac:dyDescent="0.2">
      <c r="A102" s="124" t="str">
        <f t="shared" si="11"/>
        <v>AG-RB</v>
      </c>
      <c r="B102" s="3" t="b">
        <v>0</v>
      </c>
      <c r="C102" s="3" t="b">
        <v>0</v>
      </c>
      <c r="D102" s="3" t="b">
        <v>0</v>
      </c>
      <c r="E102" s="123">
        <v>0.22594</v>
      </c>
      <c r="F102" s="3" t="b">
        <v>0</v>
      </c>
      <c r="G102" s="123">
        <v>4.4350000000000001E-2</v>
      </c>
      <c r="H102" s="3" t="b">
        <v>0</v>
      </c>
      <c r="I102" s="123">
        <v>3.8609999999999998E-2</v>
      </c>
      <c r="J102" s="123">
        <v>2.9149999999999999E-2</v>
      </c>
      <c r="K102" s="125">
        <v>2.27</v>
      </c>
      <c r="L102" s="3" t="b">
        <v>0</v>
      </c>
      <c r="M102" s="125">
        <v>2.02</v>
      </c>
      <c r="N102" s="3" t="b">
        <v>0</v>
      </c>
      <c r="O102" s="3" t="b">
        <v>0</v>
      </c>
      <c r="P102" s="3" t="b">
        <v>0</v>
      </c>
      <c r="Q102" s="3" t="b">
        <v>0</v>
      </c>
      <c r="R102" s="3" t="b">
        <v>0</v>
      </c>
      <c r="S102" t="str">
        <f>'PCIA  FF'!$A$8</f>
        <v>Agriculture</v>
      </c>
    </row>
    <row r="103" spans="1:19" x14ac:dyDescent="0.2">
      <c r="A103" s="124" t="str">
        <f t="shared" si="11"/>
        <v>AG-VA</v>
      </c>
      <c r="B103" s="3" t="b">
        <v>0</v>
      </c>
      <c r="C103" s="3" t="b">
        <v>0</v>
      </c>
      <c r="D103" s="3" t="b">
        <v>0</v>
      </c>
      <c r="E103" s="123">
        <v>0.21814</v>
      </c>
      <c r="F103" s="3" t="b">
        <v>0</v>
      </c>
      <c r="G103" s="123">
        <v>4.2040000000000001E-2</v>
      </c>
      <c r="H103" s="3" t="b">
        <v>0</v>
      </c>
      <c r="I103" s="123">
        <v>5.0700000000000002E-2</v>
      </c>
      <c r="J103" s="123">
        <v>3.9410000000000001E-2</v>
      </c>
      <c r="K103" s="3" t="b">
        <v>0</v>
      </c>
      <c r="L103" s="3" t="b">
        <v>0</v>
      </c>
      <c r="M103" s="3" t="b">
        <v>0</v>
      </c>
      <c r="N103" s="3" t="b">
        <v>0</v>
      </c>
      <c r="O103" s="3" t="b">
        <v>0</v>
      </c>
      <c r="P103" s="3" t="b">
        <v>0</v>
      </c>
      <c r="Q103" s="125">
        <v>1.43</v>
      </c>
      <c r="R103" s="3" t="b">
        <v>0</v>
      </c>
      <c r="S103" t="str">
        <f>'PCIA  FF'!$A$8</f>
        <v>Agriculture</v>
      </c>
    </row>
    <row r="104" spans="1:19" x14ac:dyDescent="0.2">
      <c r="A104" s="124" t="str">
        <f t="shared" si="11"/>
        <v>AG-VB</v>
      </c>
      <c r="B104" s="3" t="b">
        <v>0</v>
      </c>
      <c r="C104" s="3" t="b">
        <v>0</v>
      </c>
      <c r="D104" s="3" t="b">
        <v>0</v>
      </c>
      <c r="E104" s="123">
        <v>0.19950999999999999</v>
      </c>
      <c r="F104" s="3" t="b">
        <v>0</v>
      </c>
      <c r="G104" s="123">
        <v>4.2459999999999998E-2</v>
      </c>
      <c r="H104" s="3" t="b">
        <v>0</v>
      </c>
      <c r="I104" s="123">
        <v>3.8850000000000003E-2</v>
      </c>
      <c r="J104" s="123">
        <v>2.9340000000000001E-2</v>
      </c>
      <c r="K104" s="125">
        <v>2.38</v>
      </c>
      <c r="L104" s="3" t="b">
        <v>0</v>
      </c>
      <c r="M104" s="125">
        <v>1.85</v>
      </c>
      <c r="N104" s="3" t="b">
        <v>0</v>
      </c>
      <c r="O104" s="3" t="b">
        <v>0</v>
      </c>
      <c r="P104" s="3" t="b">
        <v>0</v>
      </c>
      <c r="Q104" s="3" t="b">
        <v>0</v>
      </c>
      <c r="R104" s="3" t="b">
        <v>0</v>
      </c>
      <c r="S104" t="str">
        <f>'PCIA  FF'!$A$8</f>
        <v>Agriculture</v>
      </c>
    </row>
  </sheetData>
  <sheetProtection algorithmName="SHA-512" hashValue="Om0xl2NXLBVSz5X+G09tFOj/guBTWFTRUq509bIwNiqYpLhEgO6rkxL29VjsmyM3dGRwZVhrIcUeJaFkCf+4nw==" saltValue="9eylwA070Y+h4DhEVn5amA==" spinCount="100000" sheet="1" objects="1" scenarios="1" selectLockedCells="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7"/>
  <sheetViews>
    <sheetView zoomScale="150" workbookViewId="0">
      <selection sqref="A1:XFD1048576"/>
    </sheetView>
  </sheetViews>
  <sheetFormatPr baseColWidth="10" defaultColWidth="8.83203125" defaultRowHeight="15" x14ac:dyDescent="0.2"/>
  <cols>
    <col min="1" max="1" width="30.5" style="48" customWidth="1"/>
  </cols>
  <sheetData>
    <row r="1" spans="1:12" x14ac:dyDescent="0.2">
      <c r="A1" s="48" t="s">
        <v>19</v>
      </c>
      <c r="C1">
        <v>2009</v>
      </c>
      <c r="D1">
        <v>2010</v>
      </c>
      <c r="E1">
        <v>2011</v>
      </c>
      <c r="F1">
        <v>2012</v>
      </c>
      <c r="G1">
        <v>2013</v>
      </c>
      <c r="H1">
        <v>2014</v>
      </c>
      <c r="I1">
        <v>2015</v>
      </c>
      <c r="J1">
        <v>2016</v>
      </c>
      <c r="K1">
        <v>2017</v>
      </c>
      <c r="L1">
        <v>2018</v>
      </c>
    </row>
    <row r="2" spans="1:12" x14ac:dyDescent="0.2">
      <c r="A2" s="48" t="s">
        <v>21</v>
      </c>
    </row>
    <row r="3" spans="1:12" x14ac:dyDescent="0.2">
      <c r="A3" s="124" t="s">
        <v>22</v>
      </c>
      <c r="C3">
        <v>2.053E-2</v>
      </c>
      <c r="D3">
        <v>2.3349999999999999E-2</v>
      </c>
      <c r="E3">
        <v>2.4230000000000002E-2</v>
      </c>
      <c r="F3">
        <v>2.4910000000000002E-2</v>
      </c>
      <c r="G3">
        <v>2.4969999999999999E-2</v>
      </c>
      <c r="H3">
        <v>2.4719999999999999E-2</v>
      </c>
      <c r="I3">
        <v>2.46E-2</v>
      </c>
      <c r="J3">
        <v>2.4660000000000001E-2</v>
      </c>
      <c r="K3">
        <v>2.4660000000000001E-2</v>
      </c>
      <c r="L3">
        <v>2.4660000000000001E-2</v>
      </c>
    </row>
    <row r="4" spans="1:12" x14ac:dyDescent="0.2">
      <c r="A4" s="124" t="s">
        <v>23</v>
      </c>
      <c r="C4">
        <v>2.0820000000000002E-2</v>
      </c>
      <c r="D4">
        <v>2.368E-2</v>
      </c>
      <c r="E4">
        <v>2.4570000000000002E-2</v>
      </c>
      <c r="F4">
        <v>2.5260000000000001E-2</v>
      </c>
      <c r="G4">
        <v>2.5329999999999998E-2</v>
      </c>
      <c r="H4">
        <v>2.5080000000000002E-2</v>
      </c>
      <c r="I4">
        <v>2.496E-2</v>
      </c>
      <c r="J4">
        <v>2.5010000000000001E-2</v>
      </c>
      <c r="K4">
        <v>2.5020000000000001E-2</v>
      </c>
      <c r="L4">
        <v>2.5020000000000001E-2</v>
      </c>
    </row>
    <row r="5" spans="1:12" x14ac:dyDescent="0.2">
      <c r="A5" s="124" t="s">
        <v>24</v>
      </c>
      <c r="C5">
        <v>1.7520000000000001E-2</v>
      </c>
      <c r="D5">
        <v>1.992E-2</v>
      </c>
      <c r="E5">
        <v>2.0670000000000001E-2</v>
      </c>
      <c r="F5">
        <v>2.1250000000000002E-2</v>
      </c>
      <c r="G5">
        <v>2.1309999999999999E-2</v>
      </c>
      <c r="H5">
        <v>2.1090000000000001E-2</v>
      </c>
      <c r="I5">
        <v>2.0990000000000002E-2</v>
      </c>
      <c r="J5">
        <v>2.104E-2</v>
      </c>
      <c r="K5">
        <v>2.104E-2</v>
      </c>
      <c r="L5">
        <v>2.104E-2</v>
      </c>
    </row>
    <row r="6" spans="1:12" x14ac:dyDescent="0.2">
      <c r="A6" s="124" t="s">
        <v>28</v>
      </c>
      <c r="C6">
        <v>4.9100000000000003E-3</v>
      </c>
      <c r="D6">
        <v>5.5799999999999999E-3</v>
      </c>
      <c r="E6">
        <v>5.79E-3</v>
      </c>
      <c r="F6">
        <v>5.9500000000000004E-3</v>
      </c>
      <c r="G6">
        <v>5.9699999999999996E-3</v>
      </c>
      <c r="H6">
        <v>5.9100000000000003E-3</v>
      </c>
      <c r="I6">
        <v>5.8799999999999998E-3</v>
      </c>
      <c r="J6">
        <v>5.8900000000000003E-3</v>
      </c>
      <c r="K6">
        <v>5.8900000000000003E-3</v>
      </c>
      <c r="L6">
        <v>5.8900000000000003E-3</v>
      </c>
    </row>
    <row r="7" spans="1:12" x14ac:dyDescent="0.2">
      <c r="A7" s="124" t="s">
        <v>29</v>
      </c>
      <c r="C7">
        <v>9.9600000000000001E-3</v>
      </c>
      <c r="D7">
        <v>1.132E-2</v>
      </c>
      <c r="E7">
        <v>1.175E-2</v>
      </c>
      <c r="F7">
        <v>1.208E-2</v>
      </c>
      <c r="G7">
        <v>1.2109999999999999E-2</v>
      </c>
      <c r="H7">
        <v>1.1990000000000001E-2</v>
      </c>
      <c r="I7">
        <v>1.193E-2</v>
      </c>
      <c r="J7">
        <v>1.196E-2</v>
      </c>
      <c r="K7">
        <v>1.196E-2</v>
      </c>
      <c r="L7">
        <v>1.196E-2</v>
      </c>
    </row>
    <row r="8" spans="1:12" x14ac:dyDescent="0.2">
      <c r="A8" s="124" t="s">
        <v>30</v>
      </c>
      <c r="C8">
        <v>2.051E-2</v>
      </c>
      <c r="D8">
        <v>2.332E-2</v>
      </c>
      <c r="E8">
        <v>2.4199999999999999E-2</v>
      </c>
      <c r="F8">
        <v>2.4879999999999999E-2</v>
      </c>
      <c r="G8">
        <v>2.494E-2</v>
      </c>
      <c r="H8">
        <v>2.47E-2</v>
      </c>
      <c r="I8">
        <v>2.4570000000000002E-2</v>
      </c>
      <c r="J8">
        <v>2.4629999999999999E-2</v>
      </c>
      <c r="K8">
        <v>2.4629999999999999E-2</v>
      </c>
      <c r="L8">
        <v>2.4629999999999999E-2</v>
      </c>
    </row>
    <row r="9" spans="1:12" x14ac:dyDescent="0.2">
      <c r="A9" s="124" t="s">
        <v>27</v>
      </c>
      <c r="C9">
        <v>1.4449999999999999E-2</v>
      </c>
      <c r="D9">
        <v>1.643E-2</v>
      </c>
      <c r="E9">
        <v>1.704E-2</v>
      </c>
      <c r="F9">
        <v>1.7520000000000001E-2</v>
      </c>
      <c r="G9">
        <v>1.7569999999999999E-2</v>
      </c>
      <c r="H9">
        <v>1.7399999999999999E-2</v>
      </c>
      <c r="I9">
        <v>1.7309999999999999E-2</v>
      </c>
      <c r="J9">
        <v>1.7350000000000001E-2</v>
      </c>
      <c r="K9">
        <v>1.7350000000000001E-2</v>
      </c>
      <c r="L9">
        <v>1.7350000000000001E-2</v>
      </c>
    </row>
    <row r="10" spans="1:12" x14ac:dyDescent="0.2">
      <c r="A10" s="124" t="s">
        <v>26</v>
      </c>
      <c r="C10">
        <v>1.5720000000000001E-2</v>
      </c>
      <c r="D10">
        <v>1.787E-2</v>
      </c>
      <c r="E10">
        <v>1.8540000000000001E-2</v>
      </c>
      <c r="F10">
        <v>1.9060000000000001E-2</v>
      </c>
      <c r="G10">
        <v>1.9109999999999999E-2</v>
      </c>
      <c r="H10">
        <v>1.8919999999999999E-2</v>
      </c>
      <c r="I10">
        <v>1.883E-2</v>
      </c>
      <c r="J10">
        <v>1.8870000000000001E-2</v>
      </c>
      <c r="K10">
        <v>1.8880000000000001E-2</v>
      </c>
      <c r="L10">
        <v>1.8880000000000001E-2</v>
      </c>
    </row>
    <row r="11" spans="1:12" x14ac:dyDescent="0.2">
      <c r="A11" s="124" t="s">
        <v>25</v>
      </c>
      <c r="C11">
        <v>1.686E-2</v>
      </c>
      <c r="D11">
        <v>1.916E-2</v>
      </c>
      <c r="E11">
        <v>1.9890000000000001E-2</v>
      </c>
      <c r="F11">
        <v>2.0449999999999999E-2</v>
      </c>
      <c r="G11">
        <v>2.0500000000000001E-2</v>
      </c>
      <c r="H11">
        <v>2.0299999999999999E-2</v>
      </c>
      <c r="I11">
        <v>2.0199999999999999E-2</v>
      </c>
      <c r="J11">
        <v>2.0240000000000001E-2</v>
      </c>
      <c r="K11">
        <v>2.0250000000000001E-2</v>
      </c>
      <c r="L11">
        <v>2.0250000000000001E-2</v>
      </c>
    </row>
    <row r="14" spans="1:12" x14ac:dyDescent="0.2">
      <c r="A14" s="48" t="s">
        <v>20</v>
      </c>
      <c r="B14" t="s">
        <v>64</v>
      </c>
      <c r="C14">
        <f>C1</f>
        <v>2009</v>
      </c>
      <c r="D14">
        <f t="shared" ref="D14:K14" si="0">D1</f>
        <v>2010</v>
      </c>
      <c r="E14">
        <f t="shared" si="0"/>
        <v>2011</v>
      </c>
      <c r="F14">
        <f t="shared" si="0"/>
        <v>2012</v>
      </c>
      <c r="G14">
        <f t="shared" si="0"/>
        <v>2013</v>
      </c>
      <c r="H14">
        <f t="shared" si="0"/>
        <v>2014</v>
      </c>
      <c r="I14">
        <f t="shared" si="0"/>
        <v>2015</v>
      </c>
      <c r="J14">
        <f t="shared" si="0"/>
        <v>2016</v>
      </c>
      <c r="K14">
        <f t="shared" si="0"/>
        <v>2017</v>
      </c>
      <c r="L14">
        <v>2018</v>
      </c>
    </row>
    <row r="15" spans="1:12" x14ac:dyDescent="0.2">
      <c r="A15" s="48" t="s">
        <v>21</v>
      </c>
    </row>
    <row r="16" spans="1:12" x14ac:dyDescent="0.2">
      <c r="A16" s="124" t="s">
        <v>22</v>
      </c>
      <c r="B16">
        <v>8.0000000000000004E-4</v>
      </c>
      <c r="C16">
        <v>6.4999999999999997E-4</v>
      </c>
      <c r="D16">
        <v>6.3000000000000003E-4</v>
      </c>
      <c r="E16">
        <v>6.2E-4</v>
      </c>
      <c r="F16">
        <v>6.2E-4</v>
      </c>
      <c r="G16">
        <v>6.2E-4</v>
      </c>
      <c r="H16">
        <v>6.2E-4</v>
      </c>
      <c r="I16">
        <v>6.2E-4</v>
      </c>
      <c r="J16">
        <v>6.2E-4</v>
      </c>
      <c r="K16">
        <v>6.2E-4</v>
      </c>
      <c r="L16">
        <v>6.2E-4</v>
      </c>
    </row>
    <row r="17" spans="1:12" x14ac:dyDescent="0.2">
      <c r="A17" s="124" t="s">
        <v>23</v>
      </c>
      <c r="B17">
        <v>8.4999999999999995E-4</v>
      </c>
      <c r="C17">
        <v>6.8999999999999997E-4</v>
      </c>
      <c r="D17">
        <v>6.7000000000000002E-4</v>
      </c>
      <c r="E17">
        <v>6.6E-4</v>
      </c>
      <c r="F17">
        <v>6.6E-4</v>
      </c>
      <c r="G17">
        <v>6.6E-4</v>
      </c>
      <c r="H17">
        <v>6.6E-4</v>
      </c>
      <c r="I17">
        <v>6.6E-4</v>
      </c>
      <c r="J17">
        <v>6.6E-4</v>
      </c>
      <c r="K17">
        <v>6.6E-4</v>
      </c>
      <c r="L17">
        <v>6.6E-4</v>
      </c>
    </row>
    <row r="18" spans="1:12" x14ac:dyDescent="0.2">
      <c r="A18" s="124" t="s">
        <v>24</v>
      </c>
      <c r="B18">
        <v>7.6999999999999996E-4</v>
      </c>
      <c r="C18">
        <v>6.4000000000000005E-4</v>
      </c>
      <c r="D18">
        <v>6.2E-4</v>
      </c>
      <c r="E18">
        <v>6.0999999999999997E-4</v>
      </c>
      <c r="F18">
        <v>6.0999999999999997E-4</v>
      </c>
      <c r="G18">
        <v>6.0999999999999997E-4</v>
      </c>
      <c r="H18">
        <v>6.0999999999999997E-4</v>
      </c>
      <c r="I18">
        <v>6.0999999999999997E-4</v>
      </c>
      <c r="J18">
        <v>6.0999999999999997E-4</v>
      </c>
      <c r="K18">
        <v>6.0999999999999997E-4</v>
      </c>
      <c r="L18">
        <v>6.0999999999999997E-4</v>
      </c>
    </row>
    <row r="19" spans="1:12" x14ac:dyDescent="0.2">
      <c r="A19" s="124" t="s">
        <v>28</v>
      </c>
      <c r="B19">
        <v>6.6E-4</v>
      </c>
      <c r="C19">
        <v>6.2E-4</v>
      </c>
      <c r="D19">
        <v>6.2E-4</v>
      </c>
      <c r="E19">
        <v>6.0999999999999997E-4</v>
      </c>
      <c r="F19">
        <v>6.0999999999999997E-4</v>
      </c>
      <c r="G19">
        <v>6.0999999999999997E-4</v>
      </c>
      <c r="H19">
        <v>6.0999999999999997E-4</v>
      </c>
      <c r="I19">
        <v>6.0999999999999997E-4</v>
      </c>
      <c r="J19">
        <v>6.0999999999999997E-4</v>
      </c>
      <c r="K19">
        <v>6.0999999999999997E-4</v>
      </c>
      <c r="L19">
        <v>6.0999999999999997E-4</v>
      </c>
    </row>
    <row r="20" spans="1:12" x14ac:dyDescent="0.2">
      <c r="A20" s="124" t="s">
        <v>29</v>
      </c>
      <c r="B20">
        <v>5.9000000000000003E-4</v>
      </c>
      <c r="C20">
        <v>5.1000000000000004E-4</v>
      </c>
      <c r="D20">
        <v>5.0000000000000001E-4</v>
      </c>
      <c r="E20">
        <v>5.0000000000000001E-4</v>
      </c>
      <c r="F20">
        <v>5.0000000000000001E-4</v>
      </c>
      <c r="G20">
        <v>5.0000000000000001E-4</v>
      </c>
      <c r="H20">
        <v>5.0000000000000001E-4</v>
      </c>
      <c r="I20">
        <v>5.0000000000000001E-4</v>
      </c>
      <c r="J20">
        <v>5.0000000000000001E-4</v>
      </c>
      <c r="K20">
        <v>5.0000000000000001E-4</v>
      </c>
      <c r="L20">
        <v>5.0000000000000001E-4</v>
      </c>
    </row>
    <row r="21" spans="1:12" x14ac:dyDescent="0.2">
      <c r="A21" s="124" t="s">
        <v>30</v>
      </c>
      <c r="B21">
        <v>7.1000000000000002E-4</v>
      </c>
      <c r="C21">
        <v>5.5999999999999995E-4</v>
      </c>
      <c r="D21">
        <v>5.4000000000000001E-4</v>
      </c>
      <c r="E21">
        <v>5.2999999999999998E-4</v>
      </c>
      <c r="F21">
        <v>5.1999999999999995E-4</v>
      </c>
      <c r="G21">
        <v>5.1999999999999995E-4</v>
      </c>
      <c r="H21">
        <v>5.2999999999999998E-4</v>
      </c>
      <c r="I21">
        <v>5.2999999999999998E-4</v>
      </c>
      <c r="J21">
        <v>5.2999999999999998E-4</v>
      </c>
      <c r="K21">
        <v>5.2999999999999998E-4</v>
      </c>
      <c r="L21">
        <v>5.2999999999999998E-4</v>
      </c>
    </row>
    <row r="22" spans="1:12" x14ac:dyDescent="0.2">
      <c r="A22" s="124" t="s">
        <v>27</v>
      </c>
      <c r="B22">
        <v>6.4000000000000005E-4</v>
      </c>
      <c r="C22">
        <v>5.4000000000000001E-4</v>
      </c>
      <c r="D22">
        <v>5.1999999999999995E-4</v>
      </c>
      <c r="E22">
        <v>5.1999999999999995E-4</v>
      </c>
      <c r="F22">
        <v>5.1000000000000004E-4</v>
      </c>
      <c r="G22">
        <v>5.1000000000000004E-4</v>
      </c>
      <c r="H22">
        <v>5.1000000000000004E-4</v>
      </c>
      <c r="I22">
        <v>5.1000000000000004E-4</v>
      </c>
      <c r="J22">
        <v>5.1000000000000004E-4</v>
      </c>
      <c r="K22">
        <v>5.1000000000000004E-4</v>
      </c>
      <c r="L22">
        <v>5.1000000000000004E-4</v>
      </c>
    </row>
    <row r="23" spans="1:12" x14ac:dyDescent="0.2">
      <c r="A23" s="124" t="s">
        <v>26</v>
      </c>
      <c r="B23">
        <v>6.9999999999999999E-4</v>
      </c>
      <c r="C23">
        <v>5.8E-4</v>
      </c>
      <c r="D23">
        <v>5.6999999999999998E-4</v>
      </c>
      <c r="E23">
        <v>5.5999999999999995E-4</v>
      </c>
      <c r="F23">
        <v>5.5999999999999995E-4</v>
      </c>
      <c r="G23">
        <v>5.5999999999999995E-4</v>
      </c>
      <c r="H23">
        <v>5.5999999999999995E-4</v>
      </c>
      <c r="I23">
        <v>5.5999999999999995E-4</v>
      </c>
      <c r="J23">
        <v>5.5999999999999995E-4</v>
      </c>
      <c r="K23">
        <v>5.5999999999999995E-4</v>
      </c>
      <c r="L23">
        <v>5.5999999999999995E-4</v>
      </c>
    </row>
    <row r="24" spans="1:12" x14ac:dyDescent="0.2">
      <c r="A24" s="124" t="s">
        <v>25</v>
      </c>
      <c r="B24">
        <v>7.2999999999999996E-4</v>
      </c>
      <c r="C24">
        <v>5.9999999999999995E-4</v>
      </c>
      <c r="D24">
        <v>5.8E-4</v>
      </c>
      <c r="E24">
        <v>5.8E-4</v>
      </c>
      <c r="F24">
        <v>5.6999999999999998E-4</v>
      </c>
      <c r="G24">
        <v>5.6999999999999998E-4</v>
      </c>
      <c r="H24">
        <v>5.8E-4</v>
      </c>
      <c r="I24">
        <v>5.8E-4</v>
      </c>
      <c r="J24">
        <v>5.8E-4</v>
      </c>
      <c r="K24">
        <v>5.8E-4</v>
      </c>
      <c r="L24">
        <v>5.8E-4</v>
      </c>
    </row>
    <row r="27" spans="1:12" x14ac:dyDescent="0.2">
      <c r="A27" s="48" t="s">
        <v>67</v>
      </c>
      <c r="B27">
        <v>2018</v>
      </c>
    </row>
    <row r="28" spans="1:12" x14ac:dyDescent="0.2">
      <c r="A28" s="124" t="s">
        <v>21</v>
      </c>
      <c r="B28" s="128">
        <f>SUM(B39:E39)</f>
        <v>2.0019999999999986E-2</v>
      </c>
    </row>
    <row r="29" spans="1:12" x14ac:dyDescent="0.2">
      <c r="A29" s="124" t="s">
        <v>22</v>
      </c>
      <c r="B29" s="128">
        <f t="shared" ref="B29:B36" si="1">SUM(B40:E40)</f>
        <v>8.1899999999999924E-3</v>
      </c>
    </row>
    <row r="30" spans="1:12" x14ac:dyDescent="0.2">
      <c r="A30" s="124" t="s">
        <v>23</v>
      </c>
      <c r="B30" s="128">
        <f t="shared" si="1"/>
        <v>3.7000000000000227E-4</v>
      </c>
    </row>
    <row r="31" spans="1:12" x14ac:dyDescent="0.2">
      <c r="A31" s="124" t="s">
        <v>24</v>
      </c>
      <c r="B31" s="128">
        <f t="shared" si="1"/>
        <v>5.010000000000004E-3</v>
      </c>
    </row>
    <row r="32" spans="1:12" x14ac:dyDescent="0.2">
      <c r="A32" s="124" t="s">
        <v>28</v>
      </c>
      <c r="B32" s="128">
        <f t="shared" si="1"/>
        <v>4.340000000000001E-3</v>
      </c>
    </row>
    <row r="33" spans="1:5" x14ac:dyDescent="0.2">
      <c r="A33" s="124" t="s">
        <v>30</v>
      </c>
      <c r="B33" s="128">
        <f t="shared" si="1"/>
        <v>1.8309999999999993E-2</v>
      </c>
    </row>
    <row r="34" spans="1:5" x14ac:dyDescent="0.2">
      <c r="A34" s="124" t="s">
        <v>27</v>
      </c>
      <c r="B34" s="128">
        <f t="shared" si="1"/>
        <v>1.7739999999999999E-2</v>
      </c>
    </row>
    <row r="35" spans="1:5" x14ac:dyDescent="0.2">
      <c r="A35" s="124" t="s">
        <v>26</v>
      </c>
      <c r="B35" s="128">
        <f t="shared" si="1"/>
        <v>1.3420000000000001E-2</v>
      </c>
    </row>
    <row r="36" spans="1:5" x14ac:dyDescent="0.2">
      <c r="A36" s="124" t="s">
        <v>25</v>
      </c>
      <c r="B36" s="128">
        <f t="shared" si="1"/>
        <v>9.7700000000000044E-3</v>
      </c>
    </row>
    <row r="38" spans="1:5" ht="30" x14ac:dyDescent="0.2">
      <c r="B38" s="130" t="s">
        <v>177</v>
      </c>
      <c r="C38" s="130" t="s">
        <v>178</v>
      </c>
      <c r="D38" s="130" t="s">
        <v>179</v>
      </c>
      <c r="E38" t="s">
        <v>19</v>
      </c>
    </row>
    <row r="39" spans="1:5" x14ac:dyDescent="0.2">
      <c r="A39" s="124" t="s">
        <v>21</v>
      </c>
      <c r="B39">
        <v>6.4799999999999996E-2</v>
      </c>
      <c r="C39">
        <v>-0.10780000000000001</v>
      </c>
      <c r="D39">
        <v>2.9559999999999999E-2</v>
      </c>
      <c r="E39">
        <v>3.3459999999999997E-2</v>
      </c>
    </row>
    <row r="40" spans="1:5" x14ac:dyDescent="0.2">
      <c r="A40" s="124" t="s">
        <v>22</v>
      </c>
      <c r="B40">
        <v>6.4799999999999996E-2</v>
      </c>
      <c r="C40">
        <v>-0.10709</v>
      </c>
      <c r="D40">
        <v>2.5819999999999999E-2</v>
      </c>
      <c r="E40">
        <f>L3</f>
        <v>2.4660000000000001E-2</v>
      </c>
    </row>
    <row r="41" spans="1:5" x14ac:dyDescent="0.2">
      <c r="A41" s="124" t="s">
        <v>23</v>
      </c>
      <c r="B41">
        <v>6.4799999999999996E-2</v>
      </c>
      <c r="C41">
        <v>-0.11323999999999999</v>
      </c>
      <c r="D41">
        <v>2.3789999999999999E-2</v>
      </c>
      <c r="E41">
        <f t="shared" ref="E41:E43" si="2">L4</f>
        <v>2.5020000000000001E-2</v>
      </c>
    </row>
    <row r="42" spans="1:5" x14ac:dyDescent="0.2">
      <c r="A42" s="124" t="s">
        <v>24</v>
      </c>
      <c r="B42">
        <v>6.4799999999999996E-2</v>
      </c>
      <c r="C42">
        <v>-0.10285999999999999</v>
      </c>
      <c r="D42">
        <v>2.2030000000000001E-2</v>
      </c>
      <c r="E42">
        <f t="shared" si="2"/>
        <v>2.104E-2</v>
      </c>
    </row>
    <row r="43" spans="1:5" x14ac:dyDescent="0.2">
      <c r="A43" s="124" t="s">
        <v>28</v>
      </c>
      <c r="B43">
        <v>6.4799999999999996E-2</v>
      </c>
      <c r="C43">
        <v>-8.7529999999999997E-2</v>
      </c>
      <c r="D43">
        <v>2.1180000000000001E-2</v>
      </c>
      <c r="E43">
        <f t="shared" si="2"/>
        <v>5.8900000000000003E-3</v>
      </c>
    </row>
    <row r="44" spans="1:5" x14ac:dyDescent="0.2">
      <c r="A44" s="124" t="s">
        <v>30</v>
      </c>
      <c r="B44">
        <v>6.4799999999999996E-2</v>
      </c>
      <c r="C44">
        <v>-9.5390000000000003E-2</v>
      </c>
      <c r="D44">
        <v>2.427E-2</v>
      </c>
      <c r="E44">
        <v>2.4629999999999999E-2</v>
      </c>
    </row>
    <row r="45" spans="1:5" x14ac:dyDescent="0.2">
      <c r="A45" s="124" t="s">
        <v>27</v>
      </c>
      <c r="B45">
        <v>6.4799999999999996E-2</v>
      </c>
      <c r="C45">
        <v>-8.677E-2</v>
      </c>
      <c r="D45">
        <v>2.2360000000000001E-2</v>
      </c>
      <c r="E45">
        <v>1.7350000000000001E-2</v>
      </c>
    </row>
    <row r="46" spans="1:5" x14ac:dyDescent="0.2">
      <c r="A46" s="124" t="s">
        <v>26</v>
      </c>
      <c r="B46">
        <v>6.4799999999999996E-2</v>
      </c>
      <c r="C46">
        <v>-9.3369999999999995E-2</v>
      </c>
      <c r="D46">
        <v>2.3109999999999999E-2</v>
      </c>
      <c r="E46">
        <v>1.8880000000000001E-2</v>
      </c>
    </row>
    <row r="47" spans="1:5" x14ac:dyDescent="0.2">
      <c r="A47" s="124" t="s">
        <v>25</v>
      </c>
      <c r="B47">
        <v>6.4799999999999996E-2</v>
      </c>
      <c r="C47">
        <v>-9.7809999999999994E-2</v>
      </c>
      <c r="D47">
        <v>2.2530000000000001E-2</v>
      </c>
      <c r="E47">
        <v>2.0250000000000001E-2</v>
      </c>
    </row>
  </sheetData>
  <sheetProtection algorithmName="SHA-512" hashValue="cNLkWV8VUTIBhKuno7vgQux64NDJ2LMTHRh9U6ZpvU1UaT/9T2m/nw6Gj63RmE3ugl9rRqvITWpveCwIgJe8DQ==" saltValue="w9VFe/H2kOiaB3RIC+QoQQ=="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Cost Comparison</vt:lpstr>
      <vt:lpstr>CARE</vt:lpstr>
      <vt:lpstr>Calculation</vt:lpstr>
      <vt:lpstr>Rates</vt:lpstr>
      <vt:lpstr>PCIA  FF</vt:lpstr>
      <vt:lpstr>'Cost Comparison'!Print_Area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Kudo</dc:creator>
  <cp:lastModifiedBy>Michael Totah</cp:lastModifiedBy>
  <cp:lastPrinted>2016-05-09T23:43:16Z</cp:lastPrinted>
  <dcterms:created xsi:type="dcterms:W3CDTF">2016-03-29T17:34:59Z</dcterms:created>
  <dcterms:modified xsi:type="dcterms:W3CDTF">2018-03-21T22:34:16Z</dcterms:modified>
</cp:coreProperties>
</file>